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trlProps/ctrlProp10.xml" ContentType="application/vnd.ms-excel.controlproperties+xml"/>
  <Override PartName="/xl/ctrlProps/ctrlProp5.xml" ContentType="application/vnd.ms-excel.controlproperties+xml"/>
  <Override PartName="/xl/comments2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trlProps/ctrlProp4.xml" ContentType="application/vnd.ms-excel.controlproperties+xml"/>
  <Override PartName="/xl/comments3.xml" ContentType="application/vnd.openxmlformats-officedocument.spreadsheetml.comments+xml"/>
  <Override PartName="/xl/ctrlProps/ctrlProp6.xml" ContentType="application/vnd.ms-excel.controlproperties+xml"/>
  <Override PartName="/xl/calcChain.xml" ContentType="application/vnd.openxmlformats-officedocument.spreadsheetml.calcChain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4.xml" ContentType="application/vnd.openxmlformats-officedocument.spreadsheetml.comments+xml"/>
  <Override PartName="/xl/ctrlProps/ctrlProp8.xml" ContentType="application/vnd.ms-excel.controlproperties+xml"/>
  <Override PartName="/xl/ctrlProps/ctrlProp7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olcak\Staré PC\A-Přesunout Data\HENNLICH ENERGY\G-term\new g-term\BeKa\"/>
    </mc:Choice>
  </mc:AlternateContent>
  <bookViews>
    <workbookView showHorizontalScroll="0" showVerticalScroll="0" showSheetTabs="0" xWindow="195" yWindow="105" windowWidth="17850" windowHeight="11715" tabRatio="691" firstSheet="16" activeTab="16"/>
  </bookViews>
  <sheets>
    <sheet name="S15" sheetId="1" r:id="rId1"/>
    <sheet name="RS15" sheetId="2" r:id="rId2"/>
    <sheet name="S10" sheetId="3" r:id="rId3"/>
    <sheet name="RS10" sheetId="4" r:id="rId4"/>
    <sheet name="G10" sheetId="5" r:id="rId5"/>
    <sheet name="RG10" sheetId="6" r:id="rId6"/>
    <sheet name="U10" sheetId="7" r:id="rId7"/>
    <sheet name="RU10" sheetId="8" r:id="rId8"/>
    <sheet name="G20" sheetId="9" r:id="rId9"/>
    <sheet name="RG20" sheetId="10" r:id="rId10"/>
    <sheet name="G30" sheetId="11" r:id="rId11"/>
    <sheet name="RG30" sheetId="12" r:id="rId12"/>
    <sheet name="Flex" sheetId="13" r:id="rId13"/>
    <sheet name="RFlex" sheetId="14" r:id="rId14"/>
    <sheet name="Anschluß" sheetId="15" r:id="rId15"/>
    <sheet name="RAnschluß" sheetId="16" r:id="rId16"/>
    <sheet name="Startseite" sheetId="17" r:id="rId17"/>
    <sheet name="Druckverlust der K - BeKa Matte" sheetId="18" r:id="rId18"/>
    <sheet name="Reihenschaltung mit Schläuchen" sheetId="19" r:id="rId19"/>
    <sheet name="Reihenschaltung ohne Schläuche" sheetId="20" r:id="rId20"/>
    <sheet name="Druckverlust der Matte PN20" sheetId="21" r:id="rId21"/>
    <sheet name="Druckverlust der Matte P.FS20" sheetId="22" r:id="rId22"/>
    <sheet name="RS10 (2)" sheetId="23" r:id="rId23"/>
    <sheet name="RG10 (2)" sheetId="24" r:id="rId24"/>
    <sheet name="P.FS20_1" sheetId="25" r:id="rId25"/>
    <sheet name="P.NS15" sheetId="26" r:id="rId26"/>
    <sheet name="P.VS20" sheetId="27" r:id="rId27"/>
    <sheet name="P.VS30" sheetId="28" r:id="rId28"/>
    <sheet name="P.VG10" sheetId="29" r:id="rId29"/>
    <sheet name="P.VG20" sheetId="30" r:id="rId30"/>
    <sheet name="P.VG30" sheetId="31" r:id="rId31"/>
    <sheet name="DP in Anschluß" sheetId="32" r:id="rId32"/>
  </sheets>
  <definedNames>
    <definedName name="_PDP1">#REF!</definedName>
    <definedName name="_PDP2">#REF!</definedName>
    <definedName name="_PDP3">#REF!</definedName>
    <definedName name="_PDP4">#REF!</definedName>
    <definedName name="_PDP5">#REF!</definedName>
    <definedName name="_PDP6">#REF!</definedName>
    <definedName name="_PDP7">#REF!</definedName>
    <definedName name="ALPHA0">#REF!</definedName>
    <definedName name="ALPHA1">#REF!</definedName>
    <definedName name="DPF">#REF!</definedName>
    <definedName name="DWT">#REF!</definedName>
    <definedName name="LENGTH">#REF!</definedName>
    <definedName name="LET">#REF!</definedName>
    <definedName name="LLT">#REF!</definedName>
    <definedName name="NUMVA">#REF!</definedName>
    <definedName name="_xlnm.Print_Area" localSheetId="31">'DP in Anschluß'!$A$69:$H$100</definedName>
    <definedName name="_xlnm.Print_Area" localSheetId="17">'Druckverlust der K - BeKa Matte'!$D$2:$P$23</definedName>
    <definedName name="_xlnm.Print_Area" localSheetId="20">'Druckverlust der Matte PN20'!$D$1:$H$21</definedName>
    <definedName name="_xlnm.Print_Area" localSheetId="18">'Reihenschaltung mit Schläuchen'!$D$2:$L$21</definedName>
    <definedName name="PDP0">#REF!</definedName>
    <definedName name="QLH">#REF!</definedName>
    <definedName name="QM">#REF!</definedName>
    <definedName name="QVA">#REF!</definedName>
    <definedName name="ROOMTEMP">#REF!</definedName>
    <definedName name="TILEN">#REF!</definedName>
    <definedName name="TIWID">#REF!</definedName>
    <definedName name="WAFLO">#REF!</definedName>
    <definedName name="WATLAT">#REF!</definedName>
    <definedName name="WF">#REF!</definedName>
  </definedNames>
  <calcPr calcId="152511"/>
</workbook>
</file>

<file path=xl/calcChain.xml><?xml version="1.0" encoding="utf-8"?>
<calcChain xmlns="http://schemas.openxmlformats.org/spreadsheetml/2006/main">
  <c r="G14" i="18" l="1"/>
  <c r="C3" i="15" s="1"/>
  <c r="F21" i="15" s="1"/>
  <c r="C34" i="15" s="1"/>
  <c r="C3" i="32"/>
  <c r="F13" i="32" s="1"/>
  <c r="H23" i="32"/>
  <c r="H15" i="32"/>
  <c r="F66" i="32"/>
  <c r="C68" i="32" s="1"/>
  <c r="H63" i="32"/>
  <c r="C73" i="32"/>
  <c r="C74" i="32"/>
  <c r="C75" i="32"/>
  <c r="C76" i="32"/>
  <c r="C77" i="32"/>
  <c r="C78" i="32"/>
  <c r="C79" i="32"/>
  <c r="C80" i="32"/>
  <c r="C81" i="32"/>
  <c r="C82" i="32"/>
  <c r="C83" i="32"/>
  <c r="E72" i="32"/>
  <c r="E71" i="32" s="1"/>
  <c r="D71" i="32" s="1"/>
  <c r="G7" i="18"/>
  <c r="G17" i="18"/>
  <c r="G16" i="18"/>
  <c r="B3" i="3"/>
  <c r="B4" i="3"/>
  <c r="B7" i="3" s="1"/>
  <c r="B2" i="3"/>
  <c r="B3" i="7"/>
  <c r="B4" i="7"/>
  <c r="B7" i="7" s="1"/>
  <c r="B2" i="7"/>
  <c r="L6" i="22"/>
  <c r="G7" i="22" s="1"/>
  <c r="B3" i="25" s="1"/>
  <c r="L8" i="22"/>
  <c r="G9" i="22" s="1"/>
  <c r="B2" i="25"/>
  <c r="G7" i="21"/>
  <c r="M19" i="21" s="1"/>
  <c r="G9" i="21"/>
  <c r="B8" i="29" s="1"/>
  <c r="B3" i="29"/>
  <c r="B4" i="29"/>
  <c r="B2" i="29"/>
  <c r="G15" i="21"/>
  <c r="B7" i="29"/>
  <c r="B12" i="29"/>
  <c r="B13" i="29" s="1"/>
  <c r="B3" i="30"/>
  <c r="B21" i="30" s="1"/>
  <c r="B4" i="30"/>
  <c r="B2" i="30"/>
  <c r="B7" i="30"/>
  <c r="B12" i="30"/>
  <c r="B13" i="30" s="1"/>
  <c r="C12" i="30" s="1"/>
  <c r="B3" i="28"/>
  <c r="B4" i="28"/>
  <c r="B2" i="28"/>
  <c r="F12" i="28" s="1"/>
  <c r="F13" i="28" s="1"/>
  <c r="B8" i="28"/>
  <c r="B7" i="28"/>
  <c r="B3" i="31"/>
  <c r="B4" i="31"/>
  <c r="B2" i="31"/>
  <c r="B3" i="26"/>
  <c r="B4" i="26"/>
  <c r="F12" i="26" s="1"/>
  <c r="F13" i="26" s="1"/>
  <c r="F14" i="26" s="1"/>
  <c r="B2" i="26"/>
  <c r="B8" i="26"/>
  <c r="B3" i="27"/>
  <c r="B4" i="27"/>
  <c r="F12" i="27" s="1"/>
  <c r="F13" i="27" s="1"/>
  <c r="B2" i="27"/>
  <c r="C21" i="13"/>
  <c r="B3" i="5"/>
  <c r="B4" i="5"/>
  <c r="B7" i="5" s="1"/>
  <c r="B2" i="5"/>
  <c r="B3" i="9"/>
  <c r="B4" i="9"/>
  <c r="B7" i="9" s="1"/>
  <c r="B2" i="9"/>
  <c r="B3" i="11"/>
  <c r="B4" i="11"/>
  <c r="B7" i="11" s="1"/>
  <c r="B2" i="11"/>
  <c r="F12" i="11" s="1"/>
  <c r="F13" i="11" s="1"/>
  <c r="G14" i="19"/>
  <c r="G15" i="19" s="1"/>
  <c r="B2" i="8" s="1"/>
  <c r="G7" i="19"/>
  <c r="G17" i="19"/>
  <c r="C21" i="14" s="1"/>
  <c r="H23" i="14" s="1"/>
  <c r="B4" i="4"/>
  <c r="B7" i="4"/>
  <c r="B3" i="4"/>
  <c r="B4" i="8"/>
  <c r="B7" i="8" s="1"/>
  <c r="B3" i="8"/>
  <c r="G14" i="20"/>
  <c r="G15" i="20"/>
  <c r="B2" i="10" s="1"/>
  <c r="F12" i="10" s="1"/>
  <c r="F13" i="10" s="1"/>
  <c r="G7" i="20"/>
  <c r="B4" i="23"/>
  <c r="B7" i="23" s="1"/>
  <c r="B3" i="23"/>
  <c r="B4" i="6"/>
  <c r="B7" i="6" s="1"/>
  <c r="B3" i="6"/>
  <c r="B4" i="24"/>
  <c r="B7" i="24" s="1"/>
  <c r="B3" i="24"/>
  <c r="B4" i="10"/>
  <c r="B3" i="10"/>
  <c r="B7" i="10"/>
  <c r="B4" i="12"/>
  <c r="B3" i="12"/>
  <c r="B7" i="12"/>
  <c r="B3" i="2"/>
  <c r="B4" i="2"/>
  <c r="B7" i="2" s="1"/>
  <c r="B3" i="1"/>
  <c r="B4" i="1"/>
  <c r="B7" i="1" s="1"/>
  <c r="B2" i="1"/>
  <c r="C13" i="30"/>
  <c r="B14" i="30" s="1"/>
  <c r="B18" i="30" s="1"/>
  <c r="C12" i="29"/>
  <c r="C13" i="29"/>
  <c r="B14" i="29" s="1"/>
  <c r="C3" i="16"/>
  <c r="H49" i="16" s="1"/>
  <c r="C3" i="14"/>
  <c r="F21" i="14" s="1"/>
  <c r="G13" i="26"/>
  <c r="B8" i="27"/>
  <c r="B8" i="31"/>
  <c r="B8" i="30"/>
  <c r="F12" i="30"/>
  <c r="F13" i="30" s="1"/>
  <c r="B7" i="25"/>
  <c r="B4" i="25"/>
  <c r="F12" i="25" s="1"/>
  <c r="F13" i="25" s="1"/>
  <c r="F71" i="32"/>
  <c r="C30" i="32"/>
  <c r="F10" i="15"/>
  <c r="C18" i="15"/>
  <c r="H15" i="15"/>
  <c r="H30" i="15"/>
  <c r="F39" i="15"/>
  <c r="B12" i="25"/>
  <c r="B13" i="25"/>
  <c r="C12" i="25" s="1"/>
  <c r="F7" i="14"/>
  <c r="F8" i="14" s="1"/>
  <c r="G8" i="14" s="1"/>
  <c r="F29" i="14"/>
  <c r="F30" i="14" s="1"/>
  <c r="H40" i="14"/>
  <c r="H35" i="14"/>
  <c r="F38" i="14"/>
  <c r="F39" i="14" s="1"/>
  <c r="F12" i="14"/>
  <c r="F13" i="14" s="1"/>
  <c r="H43" i="14"/>
  <c r="H9" i="14"/>
  <c r="H26" i="14"/>
  <c r="H14" i="14"/>
  <c r="H18" i="16"/>
  <c r="F66" i="16"/>
  <c r="C68" i="16" s="1"/>
  <c r="F56" i="16"/>
  <c r="C53" i="16" s="1"/>
  <c r="F13" i="16"/>
  <c r="F14" i="16" s="1"/>
  <c r="C18" i="14"/>
  <c r="G7" i="14"/>
  <c r="F9" i="14" s="1"/>
  <c r="C9" i="14" s="1"/>
  <c r="C26" i="16"/>
  <c r="C43" i="14"/>
  <c r="C13" i="25"/>
  <c r="B2" i="2" l="1"/>
  <c r="F12" i="2" s="1"/>
  <c r="F13" i="2" s="1"/>
  <c r="F12" i="7"/>
  <c r="F13" i="7" s="1"/>
  <c r="G13" i="7" s="1"/>
  <c r="H23" i="15"/>
  <c r="C3" i="13"/>
  <c r="F38" i="13" s="1"/>
  <c r="C43" i="13" s="1"/>
  <c r="G12" i="25"/>
  <c r="F14" i="25"/>
  <c r="G13" i="25"/>
  <c r="F12" i="8"/>
  <c r="F13" i="8" s="1"/>
  <c r="B12" i="8"/>
  <c r="B13" i="8" s="1"/>
  <c r="G12" i="28"/>
  <c r="G13" i="28"/>
  <c r="F14" i="28" s="1"/>
  <c r="G13" i="16"/>
  <c r="F15" i="16"/>
  <c r="C15" i="16" s="1"/>
  <c r="G14" i="16"/>
  <c r="G13" i="14"/>
  <c r="G12" i="14"/>
  <c r="F14" i="14" s="1"/>
  <c r="C14" i="14" s="1"/>
  <c r="G29" i="14"/>
  <c r="F31" i="14" s="1"/>
  <c r="C31" i="14" s="1"/>
  <c r="G30" i="14"/>
  <c r="G38" i="14"/>
  <c r="F40" i="14" s="1"/>
  <c r="C40" i="14" s="1"/>
  <c r="G39" i="14"/>
  <c r="F22" i="14"/>
  <c r="C26" i="14"/>
  <c r="C35" i="14"/>
  <c r="H15" i="16"/>
  <c r="F42" i="16"/>
  <c r="F47" i="16"/>
  <c r="F48" i="16" s="1"/>
  <c r="H26" i="16"/>
  <c r="F39" i="13"/>
  <c r="B12" i="2"/>
  <c r="B13" i="2" s="1"/>
  <c r="B14" i="2" s="1"/>
  <c r="F39" i="32"/>
  <c r="H30" i="32"/>
  <c r="C30" i="16"/>
  <c r="B14" i="25"/>
  <c r="F62" i="16"/>
  <c r="B7" i="31"/>
  <c r="B12" i="7"/>
  <c r="B13" i="7" s="1"/>
  <c r="C12" i="7" s="1"/>
  <c r="B12" i="3"/>
  <c r="B13" i="3" s="1"/>
  <c r="C13" i="3" s="1"/>
  <c r="B14" i="3" s="1"/>
  <c r="B21" i="3" s="1"/>
  <c r="C58" i="16"/>
  <c r="H30" i="16"/>
  <c r="H23" i="16"/>
  <c r="F10" i="16"/>
  <c r="C18" i="16" s="1"/>
  <c r="H34" i="16"/>
  <c r="F12" i="31"/>
  <c r="F13" i="31" s="1"/>
  <c r="B12" i="10"/>
  <c r="B13" i="10" s="1"/>
  <c r="G12" i="26"/>
  <c r="F12" i="1"/>
  <c r="F13" i="1" s="1"/>
  <c r="B7" i="27"/>
  <c r="B12" i="27" s="1"/>
  <c r="B13" i="27" s="1"/>
  <c r="B23" i="25"/>
  <c r="G19" i="22" s="1"/>
  <c r="G20" i="22" s="1"/>
  <c r="H63" i="16"/>
  <c r="F39" i="16"/>
  <c r="F21" i="16"/>
  <c r="H31" i="14"/>
  <c r="H18" i="14"/>
  <c r="H6" i="14" s="1"/>
  <c r="B2" i="24"/>
  <c r="B12" i="28"/>
  <c r="B13" i="28" s="1"/>
  <c r="F22" i="15"/>
  <c r="G22" i="15" s="1"/>
  <c r="F12" i="3"/>
  <c r="F13" i="3" s="1"/>
  <c r="G12" i="3" s="1"/>
  <c r="H23" i="13"/>
  <c r="B12" i="11"/>
  <c r="B13" i="11" s="1"/>
  <c r="C12" i="11" s="1"/>
  <c r="B12" i="9"/>
  <c r="B13" i="9" s="1"/>
  <c r="C12" i="9" s="1"/>
  <c r="B12" i="5"/>
  <c r="B13" i="5" s="1"/>
  <c r="C13" i="5" s="1"/>
  <c r="B14" i="5" s="1"/>
  <c r="B18" i="5" s="1"/>
  <c r="H40" i="13"/>
  <c r="F12" i="5"/>
  <c r="F13" i="5" s="1"/>
  <c r="G12" i="5" s="1"/>
  <c r="G12" i="1"/>
  <c r="G13" i="1"/>
  <c r="F14" i="1" s="1"/>
  <c r="B18" i="3"/>
  <c r="G21" i="15"/>
  <c r="G12" i="7"/>
  <c r="F14" i="7" s="1"/>
  <c r="H31" i="13"/>
  <c r="H14" i="13"/>
  <c r="F7" i="13"/>
  <c r="F8" i="13" s="1"/>
  <c r="H26" i="13"/>
  <c r="H9" i="13"/>
  <c r="C13" i="7"/>
  <c r="B14" i="7" s="1"/>
  <c r="F29" i="13"/>
  <c r="F12" i="13"/>
  <c r="F21" i="13"/>
  <c r="F14" i="27"/>
  <c r="G13" i="27"/>
  <c r="G12" i="27"/>
  <c r="G12" i="11"/>
  <c r="G13" i="11"/>
  <c r="F14" i="11" s="1"/>
  <c r="B21" i="29"/>
  <c r="B18" i="29"/>
  <c r="C13" i="2"/>
  <c r="C12" i="2"/>
  <c r="G13" i="3"/>
  <c r="G13" i="30"/>
  <c r="G12" i="30"/>
  <c r="F14" i="30"/>
  <c r="B21" i="5"/>
  <c r="B12" i="1"/>
  <c r="B13" i="1" s="1"/>
  <c r="G12" i="2"/>
  <c r="F14" i="2" s="1"/>
  <c r="G13" i="2"/>
  <c r="F14" i="32"/>
  <c r="C26" i="32"/>
  <c r="G13" i="10"/>
  <c r="G12" i="10"/>
  <c r="F14" i="10" s="1"/>
  <c r="B2" i="4"/>
  <c r="B2" i="6"/>
  <c r="F12" i="29"/>
  <c r="F13" i="29" s="1"/>
  <c r="G12" i="22"/>
  <c r="H63" i="15"/>
  <c r="H34" i="15"/>
  <c r="H18" i="15"/>
  <c r="F42" i="15"/>
  <c r="F47" i="15"/>
  <c r="F48" i="15" s="1"/>
  <c r="F66" i="15"/>
  <c r="C68" i="15" s="1"/>
  <c r="H49" i="15"/>
  <c r="H26" i="15"/>
  <c r="F13" i="15"/>
  <c r="F56" i="15"/>
  <c r="B2" i="12"/>
  <c r="B2" i="23"/>
  <c r="F12" i="9"/>
  <c r="F13" i="9" s="1"/>
  <c r="H18" i="13"/>
  <c r="H35" i="13"/>
  <c r="H43" i="13"/>
  <c r="B7" i="26"/>
  <c r="H49" i="32"/>
  <c r="F47" i="32"/>
  <c r="F48" i="32" s="1"/>
  <c r="F42" i="32"/>
  <c r="F56" i="32"/>
  <c r="H18" i="32"/>
  <c r="H26" i="32"/>
  <c r="H34" i="32"/>
  <c r="F21" i="32"/>
  <c r="F10" i="32"/>
  <c r="C18" i="32" s="1"/>
  <c r="C12" i="5" l="1"/>
  <c r="C12" i="3"/>
  <c r="C13" i="9"/>
  <c r="B14" i="9" s="1"/>
  <c r="G13" i="5"/>
  <c r="F14" i="5" s="1"/>
  <c r="B17" i="5" s="1"/>
  <c r="M30" i="18" s="1"/>
  <c r="B14" i="27"/>
  <c r="B18" i="27" s="1"/>
  <c r="C12" i="27"/>
  <c r="C13" i="27"/>
  <c r="B12" i="24"/>
  <c r="B13" i="24" s="1"/>
  <c r="F12" i="24"/>
  <c r="F13" i="24" s="1"/>
  <c r="B21" i="27"/>
  <c r="G39" i="13"/>
  <c r="F40" i="13" s="1"/>
  <c r="G38" i="13"/>
  <c r="G21" i="14"/>
  <c r="F23" i="14" s="1"/>
  <c r="C23" i="14" s="1"/>
  <c r="C4" i="14" s="1"/>
  <c r="G22" i="14"/>
  <c r="G12" i="8"/>
  <c r="F14" i="8" s="1"/>
  <c r="G13" i="8"/>
  <c r="F23" i="15"/>
  <c r="C23" i="15" s="1"/>
  <c r="F14" i="3"/>
  <c r="B17" i="3" s="1"/>
  <c r="G62" i="16"/>
  <c r="G61" i="16"/>
  <c r="F63" i="16" s="1"/>
  <c r="C63" i="16" s="1"/>
  <c r="C12" i="10"/>
  <c r="C13" i="10"/>
  <c r="B14" i="10" s="1"/>
  <c r="B21" i="25"/>
  <c r="B17" i="25"/>
  <c r="B18" i="25"/>
  <c r="G48" i="16"/>
  <c r="B12" i="31"/>
  <c r="B13" i="31" s="1"/>
  <c r="C12" i="28"/>
  <c r="C13" i="28"/>
  <c r="B14" i="28" s="1"/>
  <c r="F22" i="16"/>
  <c r="C34" i="16"/>
  <c r="G12" i="31"/>
  <c r="G13" i="31"/>
  <c r="F14" i="31" s="1"/>
  <c r="G47" i="16"/>
  <c r="F49" i="16" s="1"/>
  <c r="C49" i="16" s="1"/>
  <c r="C44" i="16"/>
  <c r="C12" i="8"/>
  <c r="C13" i="8"/>
  <c r="B14" i="8" s="1"/>
  <c r="C13" i="11"/>
  <c r="B14" i="11" s="1"/>
  <c r="B17" i="11" s="1"/>
  <c r="B17" i="7"/>
  <c r="G7" i="13"/>
  <c r="G8" i="13"/>
  <c r="C18" i="13"/>
  <c r="F13" i="13"/>
  <c r="C40" i="13"/>
  <c r="F30" i="13"/>
  <c r="C35" i="13"/>
  <c r="C26" i="13"/>
  <c r="F22" i="13"/>
  <c r="B18" i="7"/>
  <c r="B21" i="7"/>
  <c r="B21" i="9"/>
  <c r="B18" i="9"/>
  <c r="B21" i="11"/>
  <c r="B18" i="11"/>
  <c r="C53" i="32"/>
  <c r="C58" i="32"/>
  <c r="F62" i="32"/>
  <c r="G48" i="32"/>
  <c r="F49" i="32"/>
  <c r="C49" i="32" s="1"/>
  <c r="B12" i="26"/>
  <c r="B13" i="26" s="1"/>
  <c r="G12" i="9"/>
  <c r="G13" i="9"/>
  <c r="B12" i="12"/>
  <c r="B13" i="12" s="1"/>
  <c r="F12" i="12"/>
  <c r="F13" i="12" s="1"/>
  <c r="F14" i="15"/>
  <c r="C26" i="15"/>
  <c r="C30" i="15"/>
  <c r="G48" i="15"/>
  <c r="G12" i="29"/>
  <c r="G13" i="29"/>
  <c r="F14" i="29" s="1"/>
  <c r="B12" i="4"/>
  <c r="B13" i="4" s="1"/>
  <c r="F12" i="4"/>
  <c r="F13" i="4" s="1"/>
  <c r="B17" i="30"/>
  <c r="K22" i="21" s="1"/>
  <c r="B23" i="30"/>
  <c r="F22" i="32"/>
  <c r="C34" i="32"/>
  <c r="C44" i="32"/>
  <c r="G47" i="32"/>
  <c r="H6" i="13"/>
  <c r="F12" i="23"/>
  <c r="F13" i="23" s="1"/>
  <c r="B12" i="23"/>
  <c r="B13" i="23" s="1"/>
  <c r="C53" i="15"/>
  <c r="F62" i="15"/>
  <c r="C58" i="15"/>
  <c r="G47" i="15"/>
  <c r="C44" i="15"/>
  <c r="B12" i="6"/>
  <c r="B13" i="6" s="1"/>
  <c r="F12" i="6"/>
  <c r="F13" i="6" s="1"/>
  <c r="F15" i="32"/>
  <c r="C15" i="32" s="1"/>
  <c r="G13" i="32"/>
  <c r="G14" i="32"/>
  <c r="C12" i="1"/>
  <c r="C13" i="1"/>
  <c r="B14" i="1" s="1"/>
  <c r="B21" i="2"/>
  <c r="B17" i="2"/>
  <c r="B18" i="2"/>
  <c r="B17" i="27"/>
  <c r="K18" i="21" s="1"/>
  <c r="B23" i="27"/>
  <c r="F9" i="13" l="1"/>
  <c r="C9" i="13" s="1"/>
  <c r="B21" i="8"/>
  <c r="B18" i="8"/>
  <c r="B17" i="8"/>
  <c r="G21" i="16"/>
  <c r="F23" i="16" s="1"/>
  <c r="C23" i="16" s="1"/>
  <c r="G22" i="16"/>
  <c r="B18" i="28"/>
  <c r="B17" i="28"/>
  <c r="K19" i="21" s="1"/>
  <c r="B23" i="28"/>
  <c r="B21" i="28"/>
  <c r="B21" i="10"/>
  <c r="B18" i="10"/>
  <c r="G12" i="24"/>
  <c r="F14" i="24" s="1"/>
  <c r="G13" i="24"/>
  <c r="C13" i="24"/>
  <c r="B14" i="24" s="1"/>
  <c r="C12" i="24"/>
  <c r="C12" i="31"/>
  <c r="C13" i="31"/>
  <c r="B14" i="31" s="1"/>
  <c r="B17" i="10"/>
  <c r="F14" i="9"/>
  <c r="B17" i="9" s="1"/>
  <c r="F49" i="15"/>
  <c r="C49" i="15" s="1"/>
  <c r="G21" i="13"/>
  <c r="G22" i="13"/>
  <c r="G30" i="13"/>
  <c r="G29" i="13"/>
  <c r="G12" i="13"/>
  <c r="G13" i="13"/>
  <c r="B17" i="1"/>
  <c r="L30" i="18" s="1"/>
  <c r="B21" i="1"/>
  <c r="B18" i="1"/>
  <c r="B23" i="29"/>
  <c r="B17" i="29"/>
  <c r="K21" i="21" s="1"/>
  <c r="M18" i="21" s="1"/>
  <c r="G12" i="6"/>
  <c r="F14" i="6" s="1"/>
  <c r="G13" i="6"/>
  <c r="C13" i="23"/>
  <c r="B14" i="23" s="1"/>
  <c r="C12" i="23"/>
  <c r="F23" i="32"/>
  <c r="C23" i="32" s="1"/>
  <c r="C5" i="32" s="1"/>
  <c r="D73" i="32" s="1"/>
  <c r="D74" i="32" s="1"/>
  <c r="D75" i="32" s="1"/>
  <c r="D76" i="32" s="1"/>
  <c r="D77" i="32" s="1"/>
  <c r="D78" i="32" s="1"/>
  <c r="D79" i="32" s="1"/>
  <c r="D80" i="32" s="1"/>
  <c r="D81" i="32" s="1"/>
  <c r="D82" i="32" s="1"/>
  <c r="D83" i="32" s="1"/>
  <c r="G21" i="32"/>
  <c r="G22" i="32"/>
  <c r="G12" i="4"/>
  <c r="F14" i="4" s="1"/>
  <c r="G13" i="4"/>
  <c r="C13" i="12"/>
  <c r="C12" i="12"/>
  <c r="B14" i="12"/>
  <c r="C13" i="26"/>
  <c r="B14" i="26" s="1"/>
  <c r="C12" i="26"/>
  <c r="C13" i="6"/>
  <c r="B14" i="6" s="1"/>
  <c r="C12" i="6"/>
  <c r="G61" i="15"/>
  <c r="G62" i="15"/>
  <c r="G12" i="23"/>
  <c r="F14" i="23" s="1"/>
  <c r="G13" i="23"/>
  <c r="C12" i="4"/>
  <c r="C13" i="4"/>
  <c r="B14" i="4" s="1"/>
  <c r="G14" i="15"/>
  <c r="G13" i="15"/>
  <c r="F15" i="15" s="1"/>
  <c r="C15" i="15" s="1"/>
  <c r="G12" i="12"/>
  <c r="G13" i="12"/>
  <c r="F14" i="12"/>
  <c r="G62" i="32"/>
  <c r="F63" i="32"/>
  <c r="C63" i="32" s="1"/>
  <c r="G61" i="32"/>
  <c r="C5" i="16" l="1"/>
  <c r="C4" i="16"/>
  <c r="B18" i="24"/>
  <c r="B21" i="24"/>
  <c r="B17" i="24"/>
  <c r="B17" i="31"/>
  <c r="K23" i="21" s="1"/>
  <c r="B18" i="31"/>
  <c r="B23" i="31"/>
  <c r="B21" i="31"/>
  <c r="F31" i="13"/>
  <c r="C31" i="13" s="1"/>
  <c r="F14" i="13"/>
  <c r="C14" i="13" s="1"/>
  <c r="F63" i="15"/>
  <c r="C63" i="15" s="1"/>
  <c r="C4" i="15" s="1"/>
  <c r="G19" i="18"/>
  <c r="G20" i="18" s="1"/>
  <c r="G22" i="18"/>
  <c r="G23" i="18" s="1"/>
  <c r="F23" i="13"/>
  <c r="C23" i="13" s="1"/>
  <c r="C4" i="13" s="1"/>
  <c r="B17" i="4"/>
  <c r="K20" i="19" s="1"/>
  <c r="G19" i="19" s="1"/>
  <c r="G20" i="19" s="1"/>
  <c r="B18" i="4"/>
  <c r="B21" i="4"/>
  <c r="B17" i="6"/>
  <c r="B18" i="6"/>
  <c r="B21" i="6"/>
  <c r="B18" i="26"/>
  <c r="B17" i="26"/>
  <c r="K20" i="21" s="1"/>
  <c r="B23" i="26"/>
  <c r="B21" i="26"/>
  <c r="B17" i="23"/>
  <c r="K20" i="20" s="1"/>
  <c r="G19" i="20" s="1"/>
  <c r="G20" i="20" s="1"/>
  <c r="B18" i="23"/>
  <c r="B21" i="23"/>
  <c r="C5" i="15"/>
  <c r="B17" i="12"/>
  <c r="B18" i="12"/>
  <c r="B21" i="12"/>
  <c r="C4" i="32"/>
  <c r="G20" i="21"/>
  <c r="G19" i="21"/>
</calcChain>
</file>

<file path=xl/comments1.xml><?xml version="1.0" encoding="utf-8"?>
<comments xmlns="http://schemas.openxmlformats.org/spreadsheetml/2006/main">
  <authors>
    <author>Ein geschätzter Microsoft Office Anwender</author>
    <author>Holčák Tomáš</author>
  </authors>
  <commentList>
    <comment ref="D10" authorId="0" shapeId="0">
      <text>
        <r>
          <rPr>
            <sz val="8"/>
            <color indexed="81"/>
            <rFont val="Tahoma"/>
            <family val="2"/>
          </rPr>
          <t xml:space="preserve">Nejlépe mít v poli stejně dlouhé rohože. Pokud ne, zadám délku nejdelší rohože v poli. </t>
        </r>
      </text>
    </comment>
    <comment ref="D11" authorId="0" shapeId="0">
      <text>
        <r>
          <rPr>
            <sz val="8"/>
            <color indexed="81"/>
            <rFont val="Tahoma"/>
            <family val="2"/>
          </rPr>
          <t xml:space="preserve">Součet šírek jednotlivých rohoží zapojených paralelně (Tichelmannem) v daném poli. </t>
        </r>
      </text>
    </comment>
    <comment ref="D16" authorId="0" shapeId="0">
      <text>
        <r>
          <rPr>
            <sz val="8"/>
            <color indexed="81"/>
            <rFont val="Tahoma"/>
            <family val="2"/>
          </rPr>
          <t>u paralelního svařovaného zapojení Tichelmannem vždy vyberte možnost 00 (bez hadice)</t>
        </r>
      </text>
    </comment>
    <comment ref="D17" authorId="1" shapeId="0">
      <text>
        <r>
          <rPr>
            <sz val="9"/>
            <color indexed="81"/>
            <rFont val="Tahoma"/>
            <charset val="1"/>
          </rPr>
          <t xml:space="preserve">není třeba zadávat 
</t>
        </r>
      </text>
    </comment>
    <comment ref="D19" authorId="0" shapeId="0">
      <text>
        <r>
          <rPr>
            <sz val="8"/>
            <color indexed="81"/>
            <rFont val="Tahoma"/>
            <family val="2"/>
          </rPr>
          <t>tlaková ztráta bez hadice</t>
        </r>
      </text>
    </comment>
    <comment ref="D22" authorId="0" shapeId="0">
      <text>
        <r>
          <rPr>
            <sz val="8"/>
            <color indexed="81"/>
            <rFont val="Tahoma"/>
            <family val="2"/>
          </rPr>
          <t>tlaková ztráta včetně hadic</t>
        </r>
      </text>
    </comment>
  </commentList>
</comments>
</file>

<file path=xl/comments2.xml><?xml version="1.0" encoding="utf-8"?>
<comments xmlns="http://schemas.openxmlformats.org/spreadsheetml/2006/main">
  <authors>
    <author>Ein geschätzter Microsoft Office Anwender</author>
  </authors>
  <commentList>
    <comment ref="D10" authorId="0" shapeId="0">
      <text>
        <r>
          <rPr>
            <sz val="8"/>
            <color indexed="81"/>
            <rFont val="Tahoma"/>
            <family val="2"/>
          </rPr>
          <t>délka nejdelší rohože v sérii</t>
        </r>
      </text>
    </comment>
    <comment ref="D11" authorId="0" shapeId="0">
      <text>
        <r>
          <rPr>
            <sz val="8"/>
            <color indexed="81"/>
            <rFont val="Tahoma"/>
            <family val="2"/>
          </rPr>
          <t>šířka jedné rohože v sérii</t>
        </r>
      </text>
    </comment>
    <comment ref="D17" authorId="0" shapeId="0">
      <text>
        <r>
          <rPr>
            <sz val="8"/>
            <color indexed="81"/>
            <rFont val="Tahoma"/>
            <family val="2"/>
          </rPr>
          <t>délka (mm) propojovací hadice DN10 mezi dvěma rohožemi</t>
        </r>
      </text>
    </comment>
    <comment ref="D19" authorId="0" shapeId="0">
      <text>
        <r>
          <rPr>
            <sz val="8"/>
            <color indexed="81"/>
            <rFont val="Tahoma"/>
            <family val="2"/>
          </rPr>
          <t>tlaková ztráta všech rohoží v sérii včetně propojovacích hadic</t>
        </r>
      </text>
    </comment>
  </commentList>
</comments>
</file>

<file path=xl/comments3.xml><?xml version="1.0" encoding="utf-8"?>
<comments xmlns="http://schemas.openxmlformats.org/spreadsheetml/2006/main">
  <authors>
    <author>Ein geschätzter Microsoft Office Anwender</author>
  </authors>
  <commentList>
    <comment ref="D10" authorId="0" shapeId="0">
      <text>
        <r>
          <rPr>
            <sz val="8"/>
            <color indexed="81"/>
            <rFont val="Tahoma"/>
            <family val="2"/>
          </rPr>
          <t>Nejlépe mít v poli stejně dlouhé rohože. Pokud ne, zadám délku nejdelší rohože v poli. r</t>
        </r>
      </text>
    </comment>
    <comment ref="D11" authorId="0" shapeId="0">
      <text>
        <r>
          <rPr>
            <sz val="8"/>
            <color indexed="81"/>
            <rFont val="Tahoma"/>
            <family val="2"/>
          </rPr>
          <t>Součet šírek jednotlivých rohoží zapojených paralelně (Tichelmannem) v daném poli</t>
        </r>
      </text>
    </comment>
  </commentList>
</comments>
</file>

<file path=xl/comments4.xml><?xml version="1.0" encoding="utf-8"?>
<comments xmlns="http://schemas.openxmlformats.org/spreadsheetml/2006/main">
  <authors>
    <author>bauke</author>
    <author>Ein geschätzter Microsoft Office Anwender</author>
  </authors>
  <commentList>
    <comment ref="D9" authorId="0" shapeId="0">
      <text>
        <r>
          <rPr>
            <sz val="8"/>
            <color indexed="81"/>
            <rFont val="Arial"/>
            <family val="2"/>
          </rPr>
          <t>standardně 20x2</t>
        </r>
      </text>
    </comment>
    <comment ref="D11" authorId="1" shapeId="0">
      <text>
        <r>
          <rPr>
            <sz val="8"/>
            <color indexed="81"/>
            <rFont val="Tahoma"/>
            <family val="2"/>
          </rPr>
          <t xml:space="preserve">Nejlépe mít v poli stejně dlouhé rohože. Pokud ne, zadám délku nejdelší rohože v poli. </t>
        </r>
      </text>
    </comment>
    <comment ref="D12" authorId="1" shapeId="0">
      <text>
        <r>
          <rPr>
            <sz val="8"/>
            <color indexed="81"/>
            <rFont val="Tahoma"/>
            <family val="2"/>
          </rPr>
          <t xml:space="preserve">Součet šírek jednotlivých rohoží zapojených paralelně (Tichelmannem) v daném poli. </t>
        </r>
      </text>
    </comment>
    <comment ref="D15" authorId="1" shapeId="0">
      <text>
        <r>
          <rPr>
            <sz val="8"/>
            <color indexed="81"/>
            <rFont val="Tahoma"/>
            <family val="2"/>
          </rPr>
          <t>celého pole</t>
        </r>
      </text>
    </comment>
    <comment ref="D19" authorId="1" shapeId="0">
      <text>
        <r>
          <rPr>
            <sz val="8"/>
            <color indexed="81"/>
            <rFont val="Tahoma"/>
            <family val="2"/>
          </rPr>
          <t>tlaková ztráta pole rohoží</t>
        </r>
      </text>
    </comment>
  </commentList>
</comments>
</file>

<file path=xl/sharedStrings.xml><?xml version="1.0" encoding="utf-8"?>
<sst xmlns="http://schemas.openxmlformats.org/spreadsheetml/2006/main" count="957" uniqueCount="152">
  <si>
    <t>S15</t>
  </si>
  <si>
    <t>Massenstrom [l/hm2]</t>
  </si>
  <si>
    <t>Länge der Matte [m]</t>
  </si>
  <si>
    <t>Breite der Matte [m]</t>
  </si>
  <si>
    <r>
      <t>Æ</t>
    </r>
    <r>
      <rPr>
        <sz val="10"/>
        <rFont val="Arial"/>
        <family val="2"/>
      </rPr>
      <t>i Kapillare [mm]</t>
    </r>
  </si>
  <si>
    <t>Abst. der Kapillare[mm]</t>
  </si>
  <si>
    <t>Anzahl der Kapillare</t>
  </si>
  <si>
    <t>am Stamm</t>
  </si>
  <si>
    <r>
      <t>Æ</t>
    </r>
    <r>
      <rPr>
        <sz val="10"/>
        <rFont val="Arial"/>
        <family val="2"/>
      </rPr>
      <t>i Stamm [mm]</t>
    </r>
  </si>
  <si>
    <r>
      <t>x</t>
    </r>
    <r>
      <rPr>
        <sz val="10"/>
        <rFont val="Arial"/>
        <family val="2"/>
      </rPr>
      <t>-Wert</t>
    </r>
  </si>
  <si>
    <t>Kapillare</t>
  </si>
  <si>
    <t>Stamm</t>
  </si>
  <si>
    <t>w [m/s]</t>
  </si>
  <si>
    <t>Re-Zahl</t>
  </si>
  <si>
    <r>
      <t xml:space="preserve">l - </t>
    </r>
    <r>
      <rPr>
        <sz val="10"/>
        <rFont val="Arial"/>
        <family val="2"/>
      </rPr>
      <t>Wert</t>
    </r>
  </si>
  <si>
    <t xml:space="preserve">Cousin: </t>
  </si>
  <si>
    <t>Druckverlust Matte[Pa]</t>
  </si>
  <si>
    <t>Druckverlust Kapillar[Pa]</t>
  </si>
  <si>
    <t>Vogel :</t>
  </si>
  <si>
    <t>RS15</t>
  </si>
  <si>
    <t>Massenstrom d. Reihe[l/h]</t>
  </si>
  <si>
    <t>S10</t>
  </si>
  <si>
    <t>G10</t>
  </si>
  <si>
    <t>U10</t>
  </si>
  <si>
    <t>G20</t>
  </si>
  <si>
    <t>G30</t>
  </si>
  <si>
    <t>Druckverlust im Flexschlauch</t>
  </si>
  <si>
    <t>Massenstrom [l/h]</t>
  </si>
  <si>
    <t>Gesamtdruckverlust [Pa]</t>
  </si>
  <si>
    <t>Abschnitt1-Tülle</t>
  </si>
  <si>
    <t>Länge des Rohres 1[m]</t>
  </si>
  <si>
    <r>
      <t xml:space="preserve">Æ </t>
    </r>
    <r>
      <rPr>
        <sz val="10"/>
        <rFont val="Arial"/>
        <family val="2"/>
      </rPr>
      <t>Rohr1 [mm]</t>
    </r>
  </si>
  <si>
    <t>Druckverlust1 [Pa]</t>
  </si>
  <si>
    <t>Abschnitt2-Tülle</t>
  </si>
  <si>
    <r>
      <t xml:space="preserve">Æ </t>
    </r>
    <r>
      <rPr>
        <sz val="10"/>
        <rFont val="Arial"/>
        <family val="2"/>
      </rPr>
      <t>Rohr2 [mm]</t>
    </r>
  </si>
  <si>
    <t>Druckverlust2 [Pa]</t>
  </si>
  <si>
    <t>Verengung1</t>
  </si>
  <si>
    <t>Alpha</t>
  </si>
  <si>
    <t>Druckverlust3 [Pa]</t>
  </si>
  <si>
    <t>Abschnitt3-Schlauch</t>
  </si>
  <si>
    <t>Druckverlust4 [Pa]</t>
  </si>
  <si>
    <t>Erweiterung1</t>
  </si>
  <si>
    <t>Druckverlust5 [Pa]</t>
  </si>
  <si>
    <t>Abschnitt4-Tülle</t>
  </si>
  <si>
    <t>Druckverlust6 [Pa]</t>
  </si>
  <si>
    <t>Verengung2</t>
  </si>
  <si>
    <t>Druckverlust7 [Pa]</t>
  </si>
  <si>
    <t>Abschnitt5-Tülle</t>
  </si>
  <si>
    <t>Druckverlust8 [Pa]</t>
  </si>
  <si>
    <t>Erweiterung2</t>
  </si>
  <si>
    <t>Druckverlust9 [Pa]</t>
  </si>
  <si>
    <t>Druckverlust im Winkelabgang</t>
  </si>
  <si>
    <t>Druckverlust Eintritt [Pa]</t>
  </si>
  <si>
    <t>Eintritt</t>
  </si>
  <si>
    <t>Abschnitt2-Winkel</t>
  </si>
  <si>
    <t>Abschnitt3-Winkel</t>
  </si>
  <si>
    <t>Bogen-Winkel</t>
  </si>
  <si>
    <t>zeta-Bogen</t>
  </si>
  <si>
    <t>Druckverlust[Pa]</t>
  </si>
  <si>
    <t>Erweiterung3</t>
  </si>
  <si>
    <r>
      <t xml:space="preserve">Æ </t>
    </r>
    <r>
      <rPr>
        <sz val="10"/>
        <rFont val="Arial"/>
        <family val="2"/>
      </rPr>
      <t>Rohr4 [mm]</t>
    </r>
  </si>
  <si>
    <t>Austritt</t>
  </si>
  <si>
    <r>
      <t xml:space="preserve">Æ </t>
    </r>
    <r>
      <rPr>
        <sz val="10"/>
        <rFont val="Arial"/>
        <family val="2"/>
      </rPr>
      <t>Rohr3 [mm]</t>
    </r>
  </si>
  <si>
    <t>alpha</t>
  </si>
  <si>
    <t>Verengung3</t>
  </si>
  <si>
    <t>K.U10</t>
  </si>
  <si>
    <t>K.UM10</t>
  </si>
  <si>
    <t>[m]</t>
  </si>
  <si>
    <t>K.S10</t>
  </si>
  <si>
    <t>K.S15</t>
  </si>
  <si>
    <t>K.G10</t>
  </si>
  <si>
    <t>K.G20</t>
  </si>
  <si>
    <t>[kg/h]</t>
  </si>
  <si>
    <t>00</t>
  </si>
  <si>
    <t>[mm]</t>
  </si>
  <si>
    <t>20</t>
  </si>
  <si>
    <t>02</t>
  </si>
  <si>
    <t>[Pa]</t>
  </si>
  <si>
    <t>11</t>
  </si>
  <si>
    <t>[kPa]</t>
  </si>
  <si>
    <t>Matte o.Anschlüsse .</t>
  </si>
  <si>
    <t>Druckverlust im 1.Abgang</t>
  </si>
  <si>
    <t>Druckverlust Vereinigungen</t>
  </si>
  <si>
    <t>Zeta</t>
  </si>
  <si>
    <t>2.Vereinigung</t>
  </si>
  <si>
    <t>3.Vereinigung</t>
  </si>
  <si>
    <t>4.Vereinigung</t>
  </si>
  <si>
    <t>5.Vereinigung</t>
  </si>
  <si>
    <t>6.Vereinigung</t>
  </si>
  <si>
    <t>7.Vereinigung</t>
  </si>
  <si>
    <t>8.Vereinigung</t>
  </si>
  <si>
    <t>9.Vereinigung</t>
  </si>
  <si>
    <t>10.Vereinigung</t>
  </si>
  <si>
    <t>11.Vereinigung</t>
  </si>
  <si>
    <t>12.Vereinigung</t>
  </si>
  <si>
    <t>K.GG10</t>
  </si>
  <si>
    <t>K.GK10</t>
  </si>
  <si>
    <t>K.GT10</t>
  </si>
  <si>
    <t>K.GM10</t>
  </si>
  <si>
    <t>K.SK10</t>
  </si>
  <si>
    <t>BEKA Berechnungsprogramm</t>
  </si>
  <si>
    <t>20x3,4 - PN20</t>
  </si>
  <si>
    <t>22x2,1</t>
  </si>
  <si>
    <t>20x2</t>
  </si>
  <si>
    <t>P.VS20</t>
  </si>
  <si>
    <t>P.VS30</t>
  </si>
  <si>
    <t>P.NS15</t>
  </si>
  <si>
    <t>P.VG10</t>
  </si>
  <si>
    <t>P.VG20</t>
  </si>
  <si>
    <t>P.VG30</t>
  </si>
  <si>
    <t>zum Vergleich</t>
  </si>
  <si>
    <t>BEKA</t>
  </si>
  <si>
    <t>BEKA Formelsammlung</t>
  </si>
  <si>
    <r>
      <t>[kg/(m</t>
    </r>
    <r>
      <rPr>
        <vertAlign val="superscript"/>
        <sz val="12"/>
        <rFont val="Humnst777 Lt BT"/>
        <family val="2"/>
      </rPr>
      <t>2</t>
    </r>
    <r>
      <rPr>
        <sz val="12"/>
        <rFont val="Humnst777 Lt BT"/>
        <family val="2"/>
      </rPr>
      <t>h)]</t>
    </r>
  </si>
  <si>
    <t>[kg/(h)]</t>
  </si>
  <si>
    <t>Výpočet tlakové ztráty v kapilárních rohožích</t>
  </si>
  <si>
    <t>Tlaková ztráta rohoží typu K zapojených v sérii a propojených hadicemi</t>
  </si>
  <si>
    <t>Tlaková ztráta rohoží typu K zapojených v sérii bez hadic</t>
  </si>
  <si>
    <t xml:space="preserve">Tlaková ztráta kapilárních rohoží typu K </t>
  </si>
  <si>
    <t>Tlaková ztráta kapilárních rohoží typu P tlaková odolnost PN20</t>
  </si>
  <si>
    <t>Tlaková ztráta rohoží typu P.FS20</t>
  </si>
  <si>
    <t>Modré hodnoty lze měnit !</t>
  </si>
  <si>
    <t>Typ rohože</t>
  </si>
  <si>
    <t>Délka</t>
  </si>
  <si>
    <t>Typ připojení</t>
  </si>
  <si>
    <t>Délka hadice</t>
  </si>
  <si>
    <t>Tlaková ztráta</t>
  </si>
  <si>
    <t>Celková tlaková ztráta</t>
  </si>
  <si>
    <t>Šířka</t>
  </si>
  <si>
    <t>Průtok vody</t>
  </si>
  <si>
    <t xml:space="preserve">Celková tlaková ztráta </t>
  </si>
  <si>
    <t>Tlaková ztráta rohoží typu P tlaková řada PN20</t>
  </si>
  <si>
    <t>Tlaková ztráta kapilární rohože Typ P.FS20</t>
  </si>
  <si>
    <t>Tlaková ztráta kapilárních rohoží Typ K</t>
  </si>
  <si>
    <t xml:space="preserve">Tlaková ztráta kapilárních rohoží Typu K zapojených v sérii </t>
  </si>
  <si>
    <t>propojených hadicemi</t>
  </si>
  <si>
    <t>Tlaková ztráta kapilárních rohoží Typu K zapojených v sérii</t>
  </si>
  <si>
    <t>Počet rohoží v sérii</t>
  </si>
  <si>
    <t>rohoží v sérii</t>
  </si>
  <si>
    <t>bez hadic</t>
  </si>
  <si>
    <r>
      <t>©</t>
    </r>
    <r>
      <rPr>
        <sz val="8"/>
        <rFont val="Humnst777 Lt BT"/>
        <family val="2"/>
      </rPr>
      <t xml:space="preserve"> 2010 Výpočetní program G-TERM</t>
    </r>
  </si>
  <si>
    <t>Verze 2.09.10</t>
  </si>
  <si>
    <t xml:space="preserve">Pozor: výpočetní program G-TERM je chráněn autorskými právy. </t>
  </si>
  <si>
    <t xml:space="preserve">Neoprávněnou distrubuci tohoto programu nebo jeho částí je možné pokutovat. </t>
  </si>
  <si>
    <t>Šířka pole</t>
  </si>
  <si>
    <t xml:space="preserve">Délka </t>
  </si>
  <si>
    <t xml:space="preserve">Průtok vody </t>
  </si>
  <si>
    <t>Měrný průtok vody</t>
  </si>
  <si>
    <t>Průtok vody/rohož</t>
  </si>
  <si>
    <t>Průtok vody/série</t>
  </si>
  <si>
    <t>Sběrnice rohože</t>
  </si>
  <si>
    <t xml:space="preserve">Vypočtené hodnoty nezohledňují tlakové ztráty přívodních potrubí, rozdělovačů, výměníků apod. Ty je nutné při tvorbě projektové dokumentace připočítat.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</si>
</sst>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0.000"/>
  </numFmts>
  <fonts count="48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name val="Helv"/>
    </font>
    <font>
      <b/>
      <sz val="10"/>
      <name val="Helv"/>
    </font>
    <font>
      <sz val="10"/>
      <name val="Arial"/>
      <family val="2"/>
    </font>
    <font>
      <i/>
      <sz val="10"/>
      <color indexed="12"/>
      <name val="Helv"/>
    </font>
    <font>
      <sz val="10"/>
      <color indexed="8"/>
      <name val="Helv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name val="Symbol"/>
      <family val="1"/>
      <charset val="2"/>
    </font>
    <font>
      <i/>
      <sz val="10"/>
      <color indexed="12"/>
      <name val="Arial"/>
      <family val="2"/>
    </font>
    <font>
      <sz val="10"/>
      <name val="Symbol"/>
      <family val="1"/>
      <charset val="2"/>
    </font>
    <font>
      <sz val="10"/>
      <color indexed="10"/>
      <name val="Arial"/>
      <family val="2"/>
    </font>
    <font>
      <sz val="14"/>
      <name val="Arial"/>
      <family val="2"/>
    </font>
    <font>
      <b/>
      <i/>
      <sz val="10"/>
      <color indexed="12"/>
      <name val="Arial"/>
      <family val="2"/>
    </font>
    <font>
      <sz val="16"/>
      <name val="Arial"/>
      <family val="2"/>
    </font>
    <font>
      <sz val="8"/>
      <color indexed="81"/>
      <name val="Tahoma"/>
      <family val="2"/>
    </font>
    <font>
      <u/>
      <sz val="10"/>
      <color indexed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8"/>
      <color indexed="81"/>
      <name val="Arial"/>
      <family val="2"/>
    </font>
    <font>
      <b/>
      <i/>
      <sz val="10"/>
      <name val="Arial"/>
      <family val="2"/>
    </font>
    <font>
      <sz val="14"/>
      <name val="Humnst777 Lt BT"/>
      <family val="2"/>
    </font>
    <font>
      <sz val="10"/>
      <color indexed="12"/>
      <name val="Humnst777 Lt BT"/>
      <family val="2"/>
    </font>
    <font>
      <sz val="12"/>
      <name val="Humnst777 Lt BT"/>
      <family val="2"/>
    </font>
    <font>
      <b/>
      <i/>
      <sz val="12"/>
      <color indexed="12"/>
      <name val="Humnst777 Lt BT"/>
      <family val="2"/>
    </font>
    <font>
      <sz val="12"/>
      <color indexed="12"/>
      <name val="Humnst777 Lt BT"/>
      <family val="2"/>
    </font>
    <font>
      <vertAlign val="superscript"/>
      <sz val="12"/>
      <name val="Humnst777 Lt BT"/>
      <family val="2"/>
    </font>
    <font>
      <sz val="12"/>
      <color indexed="10"/>
      <name val="Humnst777 Lt BT"/>
      <family val="2"/>
    </font>
    <font>
      <b/>
      <sz val="12"/>
      <color indexed="10"/>
      <name val="Humnst777 Lt BT"/>
      <family val="2"/>
    </font>
    <font>
      <b/>
      <sz val="14"/>
      <name val="Humnst777 Lt BT"/>
      <family val="2"/>
    </font>
    <font>
      <b/>
      <i/>
      <sz val="14"/>
      <name val="Humnst777 Lt BT"/>
      <family val="2"/>
    </font>
    <font>
      <b/>
      <sz val="16"/>
      <name val="Humnst777 Lt BT"/>
      <family val="2"/>
    </font>
    <font>
      <sz val="8"/>
      <name val="Humnst777 Lt BT"/>
      <family val="2"/>
    </font>
    <font>
      <u/>
      <sz val="14"/>
      <name val="Humnst777 Lt BT"/>
      <family val="2"/>
    </font>
    <font>
      <sz val="12"/>
      <color indexed="8"/>
      <name val="Humnst777 Lt BT"/>
      <family val="2"/>
    </font>
    <font>
      <b/>
      <u/>
      <sz val="20"/>
      <name val="Humnst777 Lt BT"/>
      <family val="2"/>
    </font>
    <font>
      <b/>
      <sz val="18"/>
      <name val="Humnst777 Lt BT"/>
      <family val="2"/>
    </font>
    <font>
      <i/>
      <sz val="12"/>
      <name val="Humnst777 Lt BT"/>
      <family val="2"/>
    </font>
    <font>
      <sz val="8"/>
      <name val="Arial"/>
      <family val="2"/>
    </font>
    <font>
      <sz val="10"/>
      <color theme="0"/>
      <name val="Arial"/>
      <family val="2"/>
      <charset val="238"/>
    </font>
    <font>
      <sz val="9"/>
      <color indexed="81"/>
      <name val="Tahoma"/>
      <charset val="1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gray125">
        <fgColor indexed="5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8" fillId="0" borderId="0" applyNumberFormat="0" applyFill="0" applyBorder="0" applyAlignment="0">
      <alignment vertical="top"/>
      <protection hidden="1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/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0" fillId="0" borderId="0" xfId="0" applyBorder="1"/>
    <xf numFmtId="49" fontId="0" fillId="0" borderId="0" xfId="0" applyNumberFormat="1" applyProtection="1">
      <protection locked="0"/>
    </xf>
    <xf numFmtId="0" fontId="0" fillId="0" borderId="0" xfId="0" applyFill="1" applyProtection="1">
      <protection hidden="1"/>
    </xf>
    <xf numFmtId="164" fontId="9" fillId="0" borderId="1" xfId="0" applyNumberFormat="1" applyFont="1" applyFill="1" applyBorder="1" applyProtection="1">
      <protection locked="0"/>
    </xf>
    <xf numFmtId="0" fontId="10" fillId="0" borderId="0" xfId="0" applyFont="1" applyFill="1" applyProtection="1">
      <protection hidden="1"/>
    </xf>
    <xf numFmtId="0" fontId="11" fillId="0" borderId="1" xfId="0" applyFont="1" applyBorder="1"/>
    <xf numFmtId="1" fontId="0" fillId="0" borderId="1" xfId="0" applyNumberFormat="1" applyBorder="1"/>
    <xf numFmtId="164" fontId="7" fillId="0" borderId="0" xfId="0" applyNumberFormat="1" applyFont="1" applyFill="1" applyBorder="1" applyProtection="1"/>
    <xf numFmtId="0" fontId="0" fillId="0" borderId="0" xfId="0" applyFill="1" applyProtection="1"/>
    <xf numFmtId="0" fontId="12" fillId="0" borderId="0" xfId="0" applyFont="1" applyFill="1" applyBorder="1" applyProtection="1"/>
    <xf numFmtId="0" fontId="5" fillId="0" borderId="0" xfId="0" applyFont="1" applyFill="1" applyBorder="1" applyProtection="1"/>
    <xf numFmtId="0" fontId="4" fillId="0" borderId="1" xfId="0" applyFont="1" applyFill="1" applyBorder="1" applyProtection="1"/>
    <xf numFmtId="0" fontId="4" fillId="0" borderId="0" xfId="0" applyFont="1" applyFill="1" applyBorder="1" applyProtection="1">
      <protection locked="0"/>
    </xf>
    <xf numFmtId="164" fontId="6" fillId="0" borderId="1" xfId="0" applyNumberFormat="1" applyFont="1" applyFill="1" applyBorder="1" applyProtection="1">
      <protection locked="0"/>
    </xf>
    <xf numFmtId="2" fontId="13" fillId="0" borderId="1" xfId="0" applyNumberFormat="1" applyFont="1" applyBorder="1"/>
    <xf numFmtId="165" fontId="6" fillId="0" borderId="1" xfId="0" applyNumberFormat="1" applyFont="1" applyFill="1" applyBorder="1" applyProtection="1">
      <protection locked="0"/>
    </xf>
    <xf numFmtId="164" fontId="6" fillId="0" borderId="0" xfId="0" applyNumberFormat="1" applyFont="1" applyFill="1" applyBorder="1" applyProtection="1">
      <protection locked="0"/>
    </xf>
    <xf numFmtId="2" fontId="0" fillId="0" borderId="0" xfId="0" applyNumberFormat="1" applyFill="1" applyProtection="1"/>
    <xf numFmtId="0" fontId="0" fillId="0" borderId="0" xfId="0" applyNumberFormat="1" applyFill="1" applyProtection="1"/>
    <xf numFmtId="0" fontId="4" fillId="0" borderId="0" xfId="0" applyFont="1" applyFill="1" applyBorder="1" applyProtection="1"/>
    <xf numFmtId="0" fontId="0" fillId="0" borderId="0" xfId="0" applyNumberFormat="1"/>
    <xf numFmtId="2" fontId="4" fillId="0" borderId="0" xfId="0" applyNumberFormat="1" applyFont="1" applyFill="1" applyBorder="1" applyProtection="1"/>
    <xf numFmtId="0" fontId="14" fillId="0" borderId="0" xfId="0" applyFont="1"/>
    <xf numFmtId="2" fontId="13" fillId="0" borderId="0" xfId="0" applyNumberFormat="1" applyFont="1" applyBorder="1"/>
    <xf numFmtId="0" fontId="1" fillId="0" borderId="1" xfId="0" applyFont="1" applyBorder="1"/>
    <xf numFmtId="0" fontId="3" fillId="0" borderId="1" xfId="0" applyFont="1" applyFill="1" applyBorder="1" applyProtection="1"/>
    <xf numFmtId="0" fontId="6" fillId="0" borderId="1" xfId="0" applyFont="1" applyFill="1" applyBorder="1" applyProtection="1"/>
    <xf numFmtId="0" fontId="5" fillId="0" borderId="0" xfId="0" applyFont="1" applyFill="1" applyProtection="1">
      <protection hidden="1"/>
    </xf>
    <xf numFmtId="0" fontId="3" fillId="0" borderId="0" xfId="0" applyFont="1" applyFill="1" applyBorder="1" applyProtection="1"/>
    <xf numFmtId="0" fontId="0" fillId="0" borderId="1" xfId="0" applyBorder="1"/>
    <xf numFmtId="0" fontId="0" fillId="0" borderId="0" xfId="0" applyAlignment="1">
      <alignment horizontal="left"/>
    </xf>
    <xf numFmtId="0" fontId="14" fillId="0" borderId="0" xfId="0" applyFont="1" applyProtection="1">
      <protection hidden="1"/>
    </xf>
    <xf numFmtId="2" fontId="0" fillId="0" borderId="0" xfId="0" applyNumberFormat="1" applyAlignment="1" applyProtection="1">
      <alignment horizontal="right"/>
      <protection hidden="1"/>
    </xf>
    <xf numFmtId="2" fontId="8" fillId="0" borderId="0" xfId="0" applyNumberFormat="1" applyFont="1" applyProtection="1">
      <protection locked="0"/>
    </xf>
    <xf numFmtId="0" fontId="0" fillId="0" borderId="0" xfId="0" applyNumberFormat="1" applyAlignment="1" applyProtection="1">
      <alignment horizontal="right"/>
      <protection hidden="1"/>
    </xf>
    <xf numFmtId="2" fontId="0" fillId="0" borderId="0" xfId="0" applyNumberFormat="1" applyProtection="1">
      <protection hidden="1"/>
    </xf>
    <xf numFmtId="2" fontId="0" fillId="0" borderId="0" xfId="0" applyNumberFormat="1"/>
    <xf numFmtId="1" fontId="15" fillId="2" borderId="0" xfId="0" applyNumberFormat="1" applyFont="1" applyFill="1" applyProtection="1">
      <protection locked="0"/>
    </xf>
    <xf numFmtId="0" fontId="0" fillId="0" borderId="0" xfId="0" applyFill="1"/>
    <xf numFmtId="0" fontId="19" fillId="0" borderId="0" xfId="0" applyFont="1" applyFill="1" applyProtection="1">
      <protection hidden="1"/>
    </xf>
    <xf numFmtId="0" fontId="14" fillId="0" borderId="0" xfId="0" applyFont="1" applyFill="1" applyProtection="1">
      <protection hidden="1"/>
    </xf>
    <xf numFmtId="0" fontId="5" fillId="0" borderId="0" xfId="0" applyFont="1" applyFill="1"/>
    <xf numFmtId="0" fontId="20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22" fillId="0" borderId="0" xfId="0" quotePrefix="1" applyFont="1" applyFill="1"/>
    <xf numFmtId="0" fontId="23" fillId="0" borderId="0" xfId="0" applyFont="1" applyFill="1" applyProtection="1">
      <protection hidden="1"/>
    </xf>
    <xf numFmtId="0" fontId="16" fillId="0" borderId="0" xfId="0" applyFont="1" applyFill="1"/>
    <xf numFmtId="0" fontId="16" fillId="0" borderId="0" xfId="0" applyFont="1" applyFill="1" applyProtection="1">
      <protection hidden="1"/>
    </xf>
    <xf numFmtId="0" fontId="14" fillId="0" borderId="0" xfId="0" applyFont="1" applyFill="1"/>
    <xf numFmtId="0" fontId="5" fillId="0" borderId="0" xfId="0" applyFont="1" applyFill="1" applyAlignment="1" applyProtection="1">
      <alignment horizontal="right"/>
      <protection hidden="1"/>
    </xf>
    <xf numFmtId="0" fontId="0" fillId="0" borderId="0" xfId="0" applyFill="1" applyProtection="1">
      <protection locked="0"/>
    </xf>
    <xf numFmtId="2" fontId="0" fillId="0" borderId="0" xfId="0" applyNumberFormat="1" applyProtection="1">
      <protection locked="0"/>
    </xf>
    <xf numFmtId="2" fontId="20" fillId="0" borderId="0" xfId="0" applyNumberFormat="1" applyFont="1" applyFill="1" applyProtection="1">
      <protection locked="0"/>
    </xf>
    <xf numFmtId="2" fontId="0" fillId="0" borderId="0" xfId="0" applyNumberFormat="1" applyFill="1" applyProtection="1">
      <protection locked="0"/>
    </xf>
    <xf numFmtId="2" fontId="5" fillId="0" borderId="0" xfId="0" applyNumberFormat="1" applyFont="1" applyFill="1" applyProtection="1">
      <protection hidden="1"/>
    </xf>
    <xf numFmtId="2" fontId="20" fillId="0" borderId="0" xfId="0" applyNumberFormat="1" applyFont="1" applyFill="1" applyProtection="1">
      <protection hidden="1"/>
    </xf>
    <xf numFmtId="0" fontId="18" fillId="0" borderId="0" xfId="2" applyFill="1" applyAlignment="1" applyProtection="1">
      <protection hidden="1"/>
    </xf>
    <xf numFmtId="0" fontId="21" fillId="0" borderId="0" xfId="2" applyFont="1" applyFill="1" applyAlignment="1" applyProtection="1"/>
    <xf numFmtId="0" fontId="24" fillId="0" borderId="0" xfId="2" applyFont="1" applyFill="1" applyAlignment="1" applyProtection="1">
      <protection hidden="1"/>
    </xf>
    <xf numFmtId="49" fontId="0" fillId="0" borderId="0" xfId="0" applyNumberFormat="1" applyFill="1" applyProtection="1">
      <protection locked="0"/>
    </xf>
    <xf numFmtId="2" fontId="26" fillId="0" borderId="0" xfId="0" applyNumberFormat="1" applyFont="1" applyFill="1" applyProtection="1">
      <protection locked="0"/>
    </xf>
    <xf numFmtId="0" fontId="3" fillId="0" borderId="0" xfId="0" applyFont="1" applyFill="1" applyBorder="1" applyProtection="1">
      <protection locked="0"/>
    </xf>
    <xf numFmtId="0" fontId="2" fillId="0" borderId="0" xfId="0" applyFont="1" applyBorder="1"/>
    <xf numFmtId="0" fontId="0" fillId="0" borderId="2" xfId="0" applyBorder="1"/>
    <xf numFmtId="0" fontId="0" fillId="0" borderId="3" xfId="0" applyBorder="1"/>
    <xf numFmtId="0" fontId="26" fillId="0" borderId="0" xfId="0" applyFont="1"/>
    <xf numFmtId="0" fontId="18" fillId="0" borderId="0" xfId="3" applyFill="1" applyAlignment="1" applyProtection="1">
      <protection hidden="1"/>
    </xf>
    <xf numFmtId="0" fontId="21" fillId="0" borderId="0" xfId="3" applyFont="1" applyFill="1" applyAlignment="1" applyProtection="1"/>
    <xf numFmtId="0" fontId="24" fillId="0" borderId="0" xfId="3" applyFont="1" applyFill="1" applyAlignment="1" applyProtection="1">
      <protection hidden="1"/>
    </xf>
    <xf numFmtId="0" fontId="27" fillId="0" borderId="0" xfId="0" applyFont="1"/>
    <xf numFmtId="0" fontId="27" fillId="0" borderId="0" xfId="0" applyFont="1" applyProtection="1">
      <protection hidden="1"/>
    </xf>
    <xf numFmtId="0" fontId="28" fillId="0" borderId="0" xfId="0" applyFont="1"/>
    <xf numFmtId="0" fontId="29" fillId="0" borderId="0" xfId="0" applyFont="1"/>
    <xf numFmtId="0" fontId="29" fillId="0" borderId="0" xfId="0" applyFont="1" applyProtection="1">
      <protection hidden="1"/>
    </xf>
    <xf numFmtId="0" fontId="35" fillId="0" borderId="0" xfId="0" applyFont="1"/>
    <xf numFmtId="0" fontId="29" fillId="0" borderId="0" xfId="0" applyFont="1" applyFill="1" applyProtection="1">
      <protection hidden="1"/>
    </xf>
    <xf numFmtId="0" fontId="29" fillId="0" borderId="0" xfId="0" applyFont="1" applyFill="1"/>
    <xf numFmtId="2" fontId="29" fillId="0" borderId="0" xfId="0" applyNumberFormat="1" applyFont="1" applyFill="1" applyAlignment="1" applyProtection="1">
      <alignment horizontal="right"/>
      <protection hidden="1"/>
    </xf>
    <xf numFmtId="0" fontId="29" fillId="0" borderId="0" xfId="0" applyFont="1" applyFill="1" applyAlignment="1" applyProtection="1">
      <alignment horizontal="right"/>
      <protection hidden="1"/>
    </xf>
    <xf numFmtId="2" fontId="30" fillId="0" borderId="0" xfId="0" applyNumberFormat="1" applyFont="1" applyFill="1" applyProtection="1">
      <protection locked="0"/>
    </xf>
    <xf numFmtId="0" fontId="31" fillId="0" borderId="0" xfId="0" applyFont="1" applyFill="1"/>
    <xf numFmtId="0" fontId="29" fillId="0" borderId="0" xfId="0" applyNumberFormat="1" applyFont="1" applyFill="1" applyAlignment="1" applyProtection="1">
      <alignment horizontal="right"/>
      <protection hidden="1"/>
    </xf>
    <xf numFmtId="2" fontId="29" fillId="0" borderId="0" xfId="0" applyNumberFormat="1" applyFont="1" applyFill="1" applyProtection="1">
      <protection hidden="1"/>
    </xf>
    <xf numFmtId="2" fontId="34" fillId="0" borderId="0" xfId="0" applyNumberFormat="1" applyFont="1" applyFill="1" applyProtection="1">
      <protection hidden="1"/>
    </xf>
    <xf numFmtId="0" fontId="38" fillId="0" borderId="0" xfId="0" applyFont="1" applyFill="1" applyProtection="1">
      <protection hidden="1"/>
    </xf>
    <xf numFmtId="0" fontId="39" fillId="0" borderId="0" xfId="1" applyFont="1" applyFill="1" applyAlignment="1">
      <protection hidden="1"/>
    </xf>
    <xf numFmtId="0" fontId="39" fillId="0" borderId="0" xfId="1" applyFont="1" applyAlignment="1">
      <protection hidden="1"/>
    </xf>
    <xf numFmtId="0" fontId="36" fillId="0" borderId="0" xfId="0" applyFont="1"/>
    <xf numFmtId="0" fontId="37" fillId="0" borderId="0" xfId="0" applyFont="1"/>
    <xf numFmtId="0" fontId="30" fillId="0" borderId="0" xfId="0" applyFont="1" applyFill="1" applyProtection="1">
      <protection locked="0"/>
    </xf>
    <xf numFmtId="2" fontId="31" fillId="0" borderId="0" xfId="0" applyNumberFormat="1" applyFont="1" applyFill="1" applyProtection="1">
      <protection locked="0"/>
    </xf>
    <xf numFmtId="0" fontId="29" fillId="0" borderId="4" xfId="0" applyFont="1" applyFill="1" applyBorder="1" applyProtection="1">
      <protection hidden="1"/>
    </xf>
    <xf numFmtId="0" fontId="29" fillId="0" borderId="4" xfId="0" applyFont="1" applyFill="1" applyBorder="1"/>
    <xf numFmtId="0" fontId="29" fillId="0" borderId="4" xfId="0" applyFont="1" applyFill="1" applyBorder="1" applyAlignment="1" applyProtection="1">
      <alignment horizontal="right"/>
      <protection hidden="1"/>
    </xf>
    <xf numFmtId="2" fontId="30" fillId="0" borderId="4" xfId="0" applyNumberFormat="1" applyFont="1" applyFill="1" applyBorder="1" applyProtection="1">
      <protection locked="0"/>
    </xf>
    <xf numFmtId="0" fontId="29" fillId="0" borderId="4" xfId="0" applyNumberFormat="1" applyFont="1" applyFill="1" applyBorder="1" applyAlignment="1" applyProtection="1">
      <alignment horizontal="right"/>
      <protection hidden="1"/>
    </xf>
    <xf numFmtId="2" fontId="34" fillId="0" borderId="4" xfId="0" applyNumberFormat="1" applyFont="1" applyFill="1" applyBorder="1" applyProtection="1">
      <protection hidden="1"/>
    </xf>
    <xf numFmtId="0" fontId="29" fillId="0" borderId="0" xfId="0" applyFont="1" applyFill="1" applyBorder="1" applyProtection="1">
      <protection hidden="1"/>
    </xf>
    <xf numFmtId="0" fontId="29" fillId="0" borderId="0" xfId="0" applyFont="1" applyFill="1" applyBorder="1"/>
    <xf numFmtId="2" fontId="29" fillId="0" borderId="0" xfId="0" applyNumberFormat="1" applyFont="1" applyFill="1" applyBorder="1" applyAlignment="1" applyProtection="1">
      <alignment horizontal="right"/>
      <protection hidden="1"/>
    </xf>
    <xf numFmtId="2" fontId="40" fillId="0" borderId="4" xfId="0" applyNumberFormat="1" applyFont="1" applyFill="1" applyBorder="1" applyProtection="1">
      <protection hidden="1"/>
    </xf>
    <xf numFmtId="0" fontId="33" fillId="0" borderId="0" xfId="0" applyFont="1" applyFill="1"/>
    <xf numFmtId="0" fontId="41" fillId="0" borderId="0" xfId="0" applyFont="1" applyFill="1" applyProtection="1">
      <protection hidden="1"/>
    </xf>
    <xf numFmtId="0" fontId="42" fillId="0" borderId="0" xfId="0" applyFont="1"/>
    <xf numFmtId="2" fontId="34" fillId="0" borderId="4" xfId="0" applyNumberFormat="1" applyFont="1" applyBorder="1" applyProtection="1">
      <protection hidden="1"/>
    </xf>
    <xf numFmtId="0" fontId="29" fillId="0" borderId="5" xfId="0" applyFont="1" applyFill="1" applyBorder="1" applyProtection="1">
      <protection hidden="1"/>
    </xf>
    <xf numFmtId="0" fontId="29" fillId="0" borderId="5" xfId="0" applyFont="1" applyFill="1" applyBorder="1" applyAlignment="1" applyProtection="1">
      <alignment horizontal="right"/>
      <protection hidden="1"/>
    </xf>
    <xf numFmtId="2" fontId="40" fillId="0" borderId="5" xfId="0" applyNumberFormat="1" applyFont="1" applyFill="1" applyBorder="1" applyProtection="1">
      <protection hidden="1"/>
    </xf>
    <xf numFmtId="1" fontId="43" fillId="0" borderId="0" xfId="0" applyNumberFormat="1" applyFont="1" applyFill="1" applyProtection="1">
      <protection locked="0"/>
    </xf>
    <xf numFmtId="1" fontId="43" fillId="0" borderId="4" xfId="0" applyNumberFormat="1" applyFont="1" applyFill="1" applyBorder="1" applyProtection="1">
      <protection locked="0"/>
    </xf>
    <xf numFmtId="2" fontId="43" fillId="0" borderId="0" xfId="0" applyNumberFormat="1" applyFont="1" applyFill="1" applyAlignment="1" applyProtection="1">
      <alignment horizontal="right"/>
      <protection hidden="1"/>
    </xf>
    <xf numFmtId="2" fontId="43" fillId="0" borderId="4" xfId="0" applyNumberFormat="1" applyFont="1" applyFill="1" applyBorder="1" applyAlignment="1" applyProtection="1">
      <alignment horizontal="right"/>
      <protection hidden="1"/>
    </xf>
    <xf numFmtId="0" fontId="44" fillId="0" borderId="0" xfId="0" applyFont="1" applyFill="1" applyProtection="1">
      <protection hidden="1"/>
    </xf>
    <xf numFmtId="2" fontId="29" fillId="0" borderId="4" xfId="0" applyNumberFormat="1" applyFont="1" applyFill="1" applyBorder="1" applyProtection="1">
      <protection hidden="1"/>
    </xf>
    <xf numFmtId="0" fontId="45" fillId="3" borderId="0" xfId="0" applyFont="1" applyFill="1"/>
    <xf numFmtId="0" fontId="45" fillId="3" borderId="0" xfId="0" applyFont="1" applyFill="1" applyProtection="1">
      <protection locked="0"/>
    </xf>
    <xf numFmtId="2" fontId="45" fillId="3" borderId="0" xfId="0" applyNumberFormat="1" applyFont="1" applyFill="1" applyAlignment="1" applyProtection="1">
      <alignment horizontal="right"/>
      <protection locked="0"/>
    </xf>
    <xf numFmtId="0" fontId="47" fillId="0" borderId="0" xfId="0" applyFont="1" applyFill="1"/>
  </cellXfs>
  <cellStyles count="4">
    <cellStyle name="Hyperlink_DP ProgrammPN20" xfId="2"/>
    <cellStyle name="Hyperlink_Druckverlust der Matte P.FS20" xfId="3"/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trlProps/ctrlProp1.xml><?xml version="1.0" encoding="utf-8"?>
<formControlPr xmlns="http://schemas.microsoft.com/office/spreadsheetml/2009/9/main" objectType="Drop" dropStyle="combo" dx="15" fmlaLink="$K$7" fmlaRange="$J$7:$J$18" noThreeD="1" sel="4" val="0"/>
</file>

<file path=xl/ctrlProps/ctrlProp10.xml><?xml version="1.0" encoding="utf-8"?>
<formControlPr xmlns="http://schemas.microsoft.com/office/spreadsheetml/2009/9/main" objectType="Drop" dropLines="2" dropStyle="combo" dx="15" fmlaLink="$L$7" fmlaRange="$K$5:$K$6" noThreeD="1" sel="1" val="0"/>
</file>

<file path=xl/ctrlProps/ctrlProp2.xml><?xml version="1.0" encoding="utf-8"?>
<formControlPr xmlns="http://schemas.microsoft.com/office/spreadsheetml/2009/9/main" objectType="Drop" dropLines="4" dropStyle="combo" dx="15" fmlaLink="$K$31" fmlaRange="$J$31:$J$34" noThreeD="1" sel="4" val="0"/>
</file>

<file path=xl/ctrlProps/ctrlProp3.xml><?xml version="1.0" encoding="utf-8"?>
<formControlPr xmlns="http://schemas.microsoft.com/office/spreadsheetml/2009/9/main" objectType="Drop" dropLines="4" dropStyle="combo" dx="15" fmlaLink="$K$27" fmlaRange="$J$26:$J$29" noThreeD="1" sel="1" val="0"/>
</file>

<file path=xl/ctrlProps/ctrlProp4.xml><?xml version="1.0" encoding="utf-8"?>
<formControlPr xmlns="http://schemas.microsoft.com/office/spreadsheetml/2009/9/main" objectType="Drop" dropStyle="combo" dx="15" fmlaLink="$J$7" fmlaRange="$I$7:$I$14" noThreeD="1" sel="4" val="0"/>
</file>

<file path=xl/ctrlProps/ctrlProp5.xml><?xml version="1.0" encoding="utf-8"?>
<formControlPr xmlns="http://schemas.microsoft.com/office/spreadsheetml/2009/9/main" objectType="Drop" dropLines="4" dropStyle="combo" dx="15" fmlaLink="$J$21" fmlaRange="$I$21:$I$24" noThreeD="1" sel="1" val="0"/>
</file>

<file path=xl/ctrlProps/ctrlProp6.xml><?xml version="1.0" encoding="utf-8"?>
<formControlPr xmlns="http://schemas.microsoft.com/office/spreadsheetml/2009/9/main" objectType="Drop" dropStyle="combo" dx="15" fmlaLink="$J$7" fmlaRange="$I$7:$I$13" noThreeD="1" sel="1" val="0"/>
</file>

<file path=xl/ctrlProps/ctrlProp7.xml><?xml version="1.0" encoding="utf-8"?>
<formControlPr xmlns="http://schemas.microsoft.com/office/spreadsheetml/2009/9/main" objectType="Drop" dropLines="12" dropStyle="combo" dx="15" fmlaLink="$L$18" fmlaRange="$J$18:$J$23" noThreeD="1" sel="1" val="0"/>
</file>

<file path=xl/ctrlProps/ctrlProp8.xml><?xml version="1.0" encoding="utf-8"?>
<formControlPr xmlns="http://schemas.microsoft.com/office/spreadsheetml/2009/9/main" objectType="Drop" dropLines="3" dropStyle="combo" dx="15" fmlaLink="$L$7" fmlaRange="$J$7:$J$9" noThreeD="1" sel="1" val="0"/>
</file>

<file path=xl/ctrlProps/ctrlProp9.xml><?xml version="1.0" encoding="utf-8"?>
<formControlPr xmlns="http://schemas.microsoft.com/office/spreadsheetml/2009/9/main" objectType="Drop" dropLines="26" dropStyle="combo" dx="15" fmlaLink="$L$5" fmlaRange="$J$5:$J$32" noThreeD="1" sel="23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eihenschaltung ohne Schl&#228;uche'!A1"/><Relationship Id="rId2" Type="http://schemas.openxmlformats.org/officeDocument/2006/relationships/hyperlink" Target="#'Druckverlust der K - BeKa Matte'!A1"/><Relationship Id="rId1" Type="http://schemas.openxmlformats.org/officeDocument/2006/relationships/hyperlink" Target="#'Reihenschaltung mit Schl&#228;uchen'!A1"/><Relationship Id="rId6" Type="http://schemas.openxmlformats.org/officeDocument/2006/relationships/image" Target="../media/image1.png"/><Relationship Id="rId5" Type="http://schemas.openxmlformats.org/officeDocument/2006/relationships/hyperlink" Target="#'Druckverlust der Matte P.FS20'!A1"/><Relationship Id="rId4" Type="http://schemas.openxmlformats.org/officeDocument/2006/relationships/hyperlink" Target="#'Druckverlust der Matte PN20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Deckblatt!A1"/><Relationship Id="rId1" Type="http://schemas.openxmlformats.org/officeDocument/2006/relationships/hyperlink" Target="#Startseite!A1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Deckblatt!A1"/><Relationship Id="rId1" Type="http://schemas.openxmlformats.org/officeDocument/2006/relationships/hyperlink" Target="#Startseite!A1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Deckblatt!A1"/><Relationship Id="rId1" Type="http://schemas.openxmlformats.org/officeDocument/2006/relationships/hyperlink" Target="#Startseite!A1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Deckblatt!A1"/><Relationship Id="rId1" Type="http://schemas.openxmlformats.org/officeDocument/2006/relationships/hyperlink" Target="#Startseite!A1"/><Relationship Id="rId4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Deckblatt!A1"/><Relationship Id="rId1" Type="http://schemas.openxmlformats.org/officeDocument/2006/relationships/hyperlink" Target="#Startseite!A1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7</xdr:row>
      <xdr:rowOff>57150</xdr:rowOff>
    </xdr:from>
    <xdr:to>
      <xdr:col>2</xdr:col>
      <xdr:colOff>133350</xdr:colOff>
      <xdr:row>7</xdr:row>
      <xdr:rowOff>114300</xdr:rowOff>
    </xdr:to>
    <xdr:sp macro="" textlink="">
      <xdr:nvSpPr>
        <xdr:cNvPr id="11275" name="Oval 1">
          <a:hlinkClick xmlns:r="http://schemas.openxmlformats.org/officeDocument/2006/relationships" r:id="rId1" tooltip="Reihenschaltung der K-Matten mit Schläuchen"/>
        </xdr:cNvPr>
        <xdr:cNvSpPr>
          <a:spLocks noChangeArrowheads="1"/>
        </xdr:cNvSpPr>
      </xdr:nvSpPr>
      <xdr:spPr bwMode="auto">
        <a:xfrm>
          <a:off x="1638300" y="1790700"/>
          <a:ext cx="57150" cy="5715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6</xdr:row>
      <xdr:rowOff>66675</xdr:rowOff>
    </xdr:from>
    <xdr:to>
      <xdr:col>2</xdr:col>
      <xdr:colOff>133350</xdr:colOff>
      <xdr:row>6</xdr:row>
      <xdr:rowOff>123825</xdr:rowOff>
    </xdr:to>
    <xdr:sp macro="" textlink="">
      <xdr:nvSpPr>
        <xdr:cNvPr id="11276" name="Oval 2">
          <a:hlinkClick xmlns:r="http://schemas.openxmlformats.org/officeDocument/2006/relationships" r:id="rId2" tooltip="Druckverlust der K-BEKA Matten"/>
        </xdr:cNvPr>
        <xdr:cNvSpPr>
          <a:spLocks noChangeArrowheads="1"/>
        </xdr:cNvSpPr>
      </xdr:nvSpPr>
      <xdr:spPr bwMode="auto">
        <a:xfrm>
          <a:off x="1638300" y="1552575"/>
          <a:ext cx="57150" cy="5715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8</xdr:row>
      <xdr:rowOff>57150</xdr:rowOff>
    </xdr:from>
    <xdr:to>
      <xdr:col>2</xdr:col>
      <xdr:colOff>133350</xdr:colOff>
      <xdr:row>8</xdr:row>
      <xdr:rowOff>114300</xdr:rowOff>
    </xdr:to>
    <xdr:sp macro="" textlink="">
      <xdr:nvSpPr>
        <xdr:cNvPr id="11277" name="Oval 3">
          <a:hlinkClick xmlns:r="http://schemas.openxmlformats.org/officeDocument/2006/relationships" r:id="rId3" tooltip="Reihenschaltung der K-Matten ohne Schläuche"/>
        </xdr:cNvPr>
        <xdr:cNvSpPr>
          <a:spLocks noChangeArrowheads="1"/>
        </xdr:cNvSpPr>
      </xdr:nvSpPr>
      <xdr:spPr bwMode="auto">
        <a:xfrm>
          <a:off x="1638300" y="2038350"/>
          <a:ext cx="57150" cy="5715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9</xdr:row>
      <xdr:rowOff>57150</xdr:rowOff>
    </xdr:from>
    <xdr:to>
      <xdr:col>2</xdr:col>
      <xdr:colOff>133350</xdr:colOff>
      <xdr:row>9</xdr:row>
      <xdr:rowOff>114300</xdr:rowOff>
    </xdr:to>
    <xdr:sp macro="" textlink="">
      <xdr:nvSpPr>
        <xdr:cNvPr id="11279" name="Oval 9">
          <a:hlinkClick xmlns:r="http://schemas.openxmlformats.org/officeDocument/2006/relationships" r:id="rId4" tooltip="Druckverlust der P-Matten"/>
        </xdr:cNvPr>
        <xdr:cNvSpPr>
          <a:spLocks noChangeArrowheads="1"/>
        </xdr:cNvSpPr>
      </xdr:nvSpPr>
      <xdr:spPr bwMode="auto">
        <a:xfrm>
          <a:off x="1638300" y="2286000"/>
          <a:ext cx="57150" cy="5715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10</xdr:row>
      <xdr:rowOff>57150</xdr:rowOff>
    </xdr:from>
    <xdr:to>
      <xdr:col>2</xdr:col>
      <xdr:colOff>133350</xdr:colOff>
      <xdr:row>10</xdr:row>
      <xdr:rowOff>114300</xdr:rowOff>
    </xdr:to>
    <xdr:sp macro="" textlink="">
      <xdr:nvSpPr>
        <xdr:cNvPr id="11280" name="Oval 10">
          <a:hlinkClick xmlns:r="http://schemas.openxmlformats.org/officeDocument/2006/relationships" r:id="rId5" tooltip="Druckverlust der P-Matten"/>
        </xdr:cNvPr>
        <xdr:cNvSpPr>
          <a:spLocks noChangeArrowheads="1"/>
        </xdr:cNvSpPr>
      </xdr:nvSpPr>
      <xdr:spPr bwMode="auto">
        <a:xfrm>
          <a:off x="1638300" y="2533650"/>
          <a:ext cx="57150" cy="5715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9</xdr:col>
      <xdr:colOff>457200</xdr:colOff>
      <xdr:row>1</xdr:row>
      <xdr:rowOff>147638</xdr:rowOff>
    </xdr:from>
    <xdr:to>
      <xdr:col>13</xdr:col>
      <xdr:colOff>600074</xdr:colOff>
      <xdr:row>8</xdr:row>
      <xdr:rowOff>9525</xdr:rowOff>
    </xdr:to>
    <xdr:pic>
      <xdr:nvPicPr>
        <xdr:cNvPr id="9" name="Obrázek 8" descr="Logo G-TERM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95288"/>
          <a:ext cx="3190874" cy="1595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16</xdr:row>
      <xdr:rowOff>85725</xdr:rowOff>
    </xdr:from>
    <xdr:to>
      <xdr:col>2</xdr:col>
      <xdr:colOff>704850</xdr:colOff>
      <xdr:row>16</xdr:row>
      <xdr:rowOff>85725</xdr:rowOff>
    </xdr:to>
    <xdr:sp macro="" textlink="">
      <xdr:nvSpPr>
        <xdr:cNvPr id="16389" name="Line 1"/>
        <xdr:cNvSpPr>
          <a:spLocks noChangeShapeType="1"/>
        </xdr:cNvSpPr>
      </xdr:nvSpPr>
      <xdr:spPr bwMode="auto">
        <a:xfrm>
          <a:off x="2305050" y="2676525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22</xdr:row>
      <xdr:rowOff>76200</xdr:rowOff>
    </xdr:from>
    <xdr:to>
      <xdr:col>2</xdr:col>
      <xdr:colOff>676275</xdr:colOff>
      <xdr:row>22</xdr:row>
      <xdr:rowOff>76200</xdr:rowOff>
    </xdr:to>
    <xdr:sp macro="" textlink="">
      <xdr:nvSpPr>
        <xdr:cNvPr id="16390" name="Line 2"/>
        <xdr:cNvSpPr>
          <a:spLocks noChangeShapeType="1"/>
        </xdr:cNvSpPr>
      </xdr:nvSpPr>
      <xdr:spPr bwMode="auto">
        <a:xfrm>
          <a:off x="2286000" y="3638550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17</xdr:row>
      <xdr:rowOff>85725</xdr:rowOff>
    </xdr:from>
    <xdr:to>
      <xdr:col>2</xdr:col>
      <xdr:colOff>409575</xdr:colOff>
      <xdr:row>17</xdr:row>
      <xdr:rowOff>85725</xdr:rowOff>
    </xdr:to>
    <xdr:sp macro="" textlink="">
      <xdr:nvSpPr>
        <xdr:cNvPr id="16391" name="Line 3"/>
        <xdr:cNvSpPr>
          <a:spLocks noChangeShapeType="1"/>
        </xdr:cNvSpPr>
      </xdr:nvSpPr>
      <xdr:spPr bwMode="auto">
        <a:xfrm>
          <a:off x="2305050" y="28384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20</xdr:row>
      <xdr:rowOff>85725</xdr:rowOff>
    </xdr:from>
    <xdr:to>
      <xdr:col>2</xdr:col>
      <xdr:colOff>390525</xdr:colOff>
      <xdr:row>20</xdr:row>
      <xdr:rowOff>85725</xdr:rowOff>
    </xdr:to>
    <xdr:sp macro="" textlink="">
      <xdr:nvSpPr>
        <xdr:cNvPr id="16392" name="Line 4"/>
        <xdr:cNvSpPr>
          <a:spLocks noChangeShapeType="1"/>
        </xdr:cNvSpPr>
      </xdr:nvSpPr>
      <xdr:spPr bwMode="auto">
        <a:xfrm>
          <a:off x="2295525" y="33242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16</xdr:row>
      <xdr:rowOff>85725</xdr:rowOff>
    </xdr:from>
    <xdr:to>
      <xdr:col>2</xdr:col>
      <xdr:colOff>704850</xdr:colOff>
      <xdr:row>16</xdr:row>
      <xdr:rowOff>85725</xdr:rowOff>
    </xdr:to>
    <xdr:sp macro="" textlink="">
      <xdr:nvSpPr>
        <xdr:cNvPr id="17413" name="Line 1"/>
        <xdr:cNvSpPr>
          <a:spLocks noChangeShapeType="1"/>
        </xdr:cNvSpPr>
      </xdr:nvSpPr>
      <xdr:spPr bwMode="auto">
        <a:xfrm>
          <a:off x="2305050" y="2676525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22</xdr:row>
      <xdr:rowOff>76200</xdr:rowOff>
    </xdr:from>
    <xdr:to>
      <xdr:col>2</xdr:col>
      <xdr:colOff>676275</xdr:colOff>
      <xdr:row>22</xdr:row>
      <xdr:rowOff>76200</xdr:rowOff>
    </xdr:to>
    <xdr:sp macro="" textlink="">
      <xdr:nvSpPr>
        <xdr:cNvPr id="17414" name="Line 2"/>
        <xdr:cNvSpPr>
          <a:spLocks noChangeShapeType="1"/>
        </xdr:cNvSpPr>
      </xdr:nvSpPr>
      <xdr:spPr bwMode="auto">
        <a:xfrm>
          <a:off x="2286000" y="3638550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17</xdr:row>
      <xdr:rowOff>85725</xdr:rowOff>
    </xdr:from>
    <xdr:to>
      <xdr:col>2</xdr:col>
      <xdr:colOff>409575</xdr:colOff>
      <xdr:row>17</xdr:row>
      <xdr:rowOff>85725</xdr:rowOff>
    </xdr:to>
    <xdr:sp macro="" textlink="">
      <xdr:nvSpPr>
        <xdr:cNvPr id="17415" name="Line 3"/>
        <xdr:cNvSpPr>
          <a:spLocks noChangeShapeType="1"/>
        </xdr:cNvSpPr>
      </xdr:nvSpPr>
      <xdr:spPr bwMode="auto">
        <a:xfrm>
          <a:off x="2305050" y="28384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20</xdr:row>
      <xdr:rowOff>85725</xdr:rowOff>
    </xdr:from>
    <xdr:to>
      <xdr:col>2</xdr:col>
      <xdr:colOff>390525</xdr:colOff>
      <xdr:row>20</xdr:row>
      <xdr:rowOff>85725</xdr:rowOff>
    </xdr:to>
    <xdr:sp macro="" textlink="">
      <xdr:nvSpPr>
        <xdr:cNvPr id="17416" name="Line 4"/>
        <xdr:cNvSpPr>
          <a:spLocks noChangeShapeType="1"/>
        </xdr:cNvSpPr>
      </xdr:nvSpPr>
      <xdr:spPr bwMode="auto">
        <a:xfrm>
          <a:off x="2295525" y="33242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16</xdr:row>
      <xdr:rowOff>85725</xdr:rowOff>
    </xdr:from>
    <xdr:to>
      <xdr:col>2</xdr:col>
      <xdr:colOff>704850</xdr:colOff>
      <xdr:row>16</xdr:row>
      <xdr:rowOff>85725</xdr:rowOff>
    </xdr:to>
    <xdr:sp macro="" textlink="">
      <xdr:nvSpPr>
        <xdr:cNvPr id="18437" name="Line 1"/>
        <xdr:cNvSpPr>
          <a:spLocks noChangeShapeType="1"/>
        </xdr:cNvSpPr>
      </xdr:nvSpPr>
      <xdr:spPr bwMode="auto">
        <a:xfrm>
          <a:off x="2305050" y="2676525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22</xdr:row>
      <xdr:rowOff>76200</xdr:rowOff>
    </xdr:from>
    <xdr:to>
      <xdr:col>2</xdr:col>
      <xdr:colOff>676275</xdr:colOff>
      <xdr:row>22</xdr:row>
      <xdr:rowOff>76200</xdr:rowOff>
    </xdr:to>
    <xdr:sp macro="" textlink="">
      <xdr:nvSpPr>
        <xdr:cNvPr id="18438" name="Line 2"/>
        <xdr:cNvSpPr>
          <a:spLocks noChangeShapeType="1"/>
        </xdr:cNvSpPr>
      </xdr:nvSpPr>
      <xdr:spPr bwMode="auto">
        <a:xfrm>
          <a:off x="2286000" y="3638550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17</xdr:row>
      <xdr:rowOff>85725</xdr:rowOff>
    </xdr:from>
    <xdr:to>
      <xdr:col>2</xdr:col>
      <xdr:colOff>409575</xdr:colOff>
      <xdr:row>17</xdr:row>
      <xdr:rowOff>85725</xdr:rowOff>
    </xdr:to>
    <xdr:sp macro="" textlink="">
      <xdr:nvSpPr>
        <xdr:cNvPr id="18439" name="Line 3"/>
        <xdr:cNvSpPr>
          <a:spLocks noChangeShapeType="1"/>
        </xdr:cNvSpPr>
      </xdr:nvSpPr>
      <xdr:spPr bwMode="auto">
        <a:xfrm>
          <a:off x="2305050" y="28384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20</xdr:row>
      <xdr:rowOff>85725</xdr:rowOff>
    </xdr:from>
    <xdr:to>
      <xdr:col>2</xdr:col>
      <xdr:colOff>390525</xdr:colOff>
      <xdr:row>20</xdr:row>
      <xdr:rowOff>85725</xdr:rowOff>
    </xdr:to>
    <xdr:sp macro="" textlink="">
      <xdr:nvSpPr>
        <xdr:cNvPr id="18440" name="Line 4"/>
        <xdr:cNvSpPr>
          <a:spLocks noChangeShapeType="1"/>
        </xdr:cNvSpPr>
      </xdr:nvSpPr>
      <xdr:spPr bwMode="auto">
        <a:xfrm>
          <a:off x="2295525" y="33242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24</xdr:row>
      <xdr:rowOff>0</xdr:rowOff>
    </xdr:from>
    <xdr:to>
      <xdr:col>3</xdr:col>
      <xdr:colOff>1685925</xdr:colOff>
      <xdr:row>27</xdr:row>
      <xdr:rowOff>19050</xdr:rowOff>
    </xdr:to>
    <xdr:grpSp>
      <xdr:nvGrpSpPr>
        <xdr:cNvPr id="3099" name="Group 27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952625" y="5943600"/>
          <a:ext cx="1676400" cy="504825"/>
          <a:chOff x="203" y="634"/>
          <a:chExt cx="176" cy="53"/>
        </a:xfrm>
      </xdr:grpSpPr>
      <xdr:pic>
        <xdr:nvPicPr>
          <xdr:cNvPr id="3095" name="Picture 20">
            <a:hlinkClick xmlns:r="http://schemas.openxmlformats.org/officeDocument/2006/relationships" r:id="rId2" tooltip="zurück zum Start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3" y="634"/>
            <a:ext cx="176" cy="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93" name="Rectangle 21"/>
          <xdr:cNvSpPr>
            <a:spLocks noChangeArrowheads="1"/>
          </xdr:cNvSpPr>
        </xdr:nvSpPr>
        <xdr:spPr bwMode="auto">
          <a:xfrm>
            <a:off x="224" y="649"/>
            <a:ext cx="81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800" b="0" i="0" strike="noStrike">
                <a:solidFill>
                  <a:srgbClr val="000000"/>
                </a:solidFill>
                <a:latin typeface="Arial"/>
                <a:cs typeface="Arial"/>
              </a:rPr>
              <a:t>zurück zum Start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4</xdr:col>
          <xdr:colOff>666750</xdr:colOff>
          <xdr:row>6</xdr:row>
          <xdr:rowOff>209550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47625</xdr:rowOff>
        </xdr:from>
        <xdr:to>
          <xdr:col>4</xdr:col>
          <xdr:colOff>638175</xdr:colOff>
          <xdr:row>16</xdr:row>
          <xdr:rowOff>228600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47625</xdr:rowOff>
        </xdr:from>
        <xdr:to>
          <xdr:col>4</xdr:col>
          <xdr:colOff>657225</xdr:colOff>
          <xdr:row>15</xdr:row>
          <xdr:rowOff>228600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971550</xdr:colOff>
      <xdr:row>3</xdr:row>
      <xdr:rowOff>152400</xdr:rowOff>
    </xdr:from>
    <xdr:to>
      <xdr:col>16</xdr:col>
      <xdr:colOff>676274</xdr:colOff>
      <xdr:row>10</xdr:row>
      <xdr:rowOff>14287</xdr:rowOff>
    </xdr:to>
    <xdr:pic>
      <xdr:nvPicPr>
        <xdr:cNvPr id="9" name="Obrázek 8" descr="Logo G-TERM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895350"/>
          <a:ext cx="3190874" cy="1595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</xdr:row>
          <xdr:rowOff>0</xdr:rowOff>
        </xdr:from>
        <xdr:to>
          <xdr:col>4</xdr:col>
          <xdr:colOff>676275</xdr:colOff>
          <xdr:row>6</xdr:row>
          <xdr:rowOff>209550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9525</xdr:rowOff>
        </xdr:from>
        <xdr:to>
          <xdr:col>4</xdr:col>
          <xdr:colOff>638175</xdr:colOff>
          <xdr:row>16</xdr:row>
          <xdr:rowOff>190500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9525</xdr:colOff>
      <xdr:row>24</xdr:row>
      <xdr:rowOff>0</xdr:rowOff>
    </xdr:from>
    <xdr:to>
      <xdr:col>3</xdr:col>
      <xdr:colOff>1685925</xdr:colOff>
      <xdr:row>27</xdr:row>
      <xdr:rowOff>19050</xdr:rowOff>
    </xdr:to>
    <xdr:grpSp>
      <xdr:nvGrpSpPr>
        <xdr:cNvPr id="4119" name="Group 2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952625" y="5943600"/>
          <a:ext cx="1676400" cy="504825"/>
          <a:chOff x="203" y="634"/>
          <a:chExt cx="176" cy="53"/>
        </a:xfrm>
      </xdr:grpSpPr>
      <xdr:pic>
        <xdr:nvPicPr>
          <xdr:cNvPr id="4120" name="Picture 20">
            <a:hlinkClick xmlns:r="http://schemas.openxmlformats.org/officeDocument/2006/relationships" r:id="rId2" tooltip="zurück zum Start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3" y="634"/>
            <a:ext cx="176" cy="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93" name="Rectangle 21"/>
          <xdr:cNvSpPr>
            <a:spLocks noChangeArrowheads="1"/>
          </xdr:cNvSpPr>
        </xdr:nvSpPr>
        <xdr:spPr bwMode="auto">
          <a:xfrm>
            <a:off x="224" y="649"/>
            <a:ext cx="81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800" b="0" i="0" strike="noStrike">
                <a:solidFill>
                  <a:srgbClr val="000000"/>
                </a:solidFill>
                <a:latin typeface="Arial"/>
                <a:cs typeface="Arial"/>
              </a:rPr>
              <a:t>zurück zum Start</a:t>
            </a:r>
          </a:p>
        </xdr:txBody>
      </xdr:sp>
    </xdr:grpSp>
    <xdr:clientData/>
  </xdr:twoCellAnchor>
  <xdr:twoCellAnchor editAs="oneCell">
    <xdr:from>
      <xdr:col>11</xdr:col>
      <xdr:colOff>104775</xdr:colOff>
      <xdr:row>1</xdr:row>
      <xdr:rowOff>114300</xdr:rowOff>
    </xdr:from>
    <xdr:to>
      <xdr:col>13</xdr:col>
      <xdr:colOff>390524</xdr:colOff>
      <xdr:row>7</xdr:row>
      <xdr:rowOff>223837</xdr:rowOff>
    </xdr:to>
    <xdr:pic>
      <xdr:nvPicPr>
        <xdr:cNvPr id="8" name="Obrázek 7" descr="Logo G-TERM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361950"/>
          <a:ext cx="3190874" cy="1595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238125</xdr:rowOff>
        </xdr:from>
        <xdr:to>
          <xdr:col>4</xdr:col>
          <xdr:colOff>666750</xdr:colOff>
          <xdr:row>6</xdr:row>
          <xdr:rowOff>200025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9525</xdr:colOff>
      <xdr:row>24</xdr:row>
      <xdr:rowOff>0</xdr:rowOff>
    </xdr:from>
    <xdr:to>
      <xdr:col>3</xdr:col>
      <xdr:colOff>1685925</xdr:colOff>
      <xdr:row>27</xdr:row>
      <xdr:rowOff>19050</xdr:rowOff>
    </xdr:to>
    <xdr:grpSp>
      <xdr:nvGrpSpPr>
        <xdr:cNvPr id="10261" name="Group 2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952625" y="5943600"/>
          <a:ext cx="1676400" cy="504825"/>
          <a:chOff x="203" y="634"/>
          <a:chExt cx="176" cy="53"/>
        </a:xfrm>
      </xdr:grpSpPr>
      <xdr:pic>
        <xdr:nvPicPr>
          <xdr:cNvPr id="10262" name="Picture 20">
            <a:hlinkClick xmlns:r="http://schemas.openxmlformats.org/officeDocument/2006/relationships" r:id="rId2" tooltip="zurück zum Start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3" y="634"/>
            <a:ext cx="176" cy="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93" name="Rectangle 21"/>
          <xdr:cNvSpPr>
            <a:spLocks noChangeArrowheads="1"/>
          </xdr:cNvSpPr>
        </xdr:nvSpPr>
        <xdr:spPr bwMode="auto">
          <a:xfrm>
            <a:off x="224" y="649"/>
            <a:ext cx="81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800" b="0" i="0" strike="noStrike">
                <a:solidFill>
                  <a:srgbClr val="000000"/>
                </a:solidFill>
                <a:latin typeface="Arial"/>
                <a:cs typeface="Arial"/>
              </a:rPr>
              <a:t>zurück zum Start</a:t>
            </a:r>
          </a:p>
        </xdr:txBody>
      </xdr:sp>
    </xdr:grpSp>
    <xdr:clientData/>
  </xdr:twoCellAnchor>
  <xdr:twoCellAnchor editAs="oneCell">
    <xdr:from>
      <xdr:col>7</xdr:col>
      <xdr:colOff>847725</xdr:colOff>
      <xdr:row>1</xdr:row>
      <xdr:rowOff>161925</xdr:rowOff>
    </xdr:from>
    <xdr:to>
      <xdr:col>16</xdr:col>
      <xdr:colOff>9524</xdr:colOff>
      <xdr:row>8</xdr:row>
      <xdr:rowOff>23812</xdr:rowOff>
    </xdr:to>
    <xdr:pic>
      <xdr:nvPicPr>
        <xdr:cNvPr id="7" name="Obrázek 6" descr="Logo G-TERM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409575"/>
          <a:ext cx="3190874" cy="1595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85725</xdr:colOff>
          <xdr:row>6</xdr:row>
          <xdr:rowOff>209550</xdr:rowOff>
        </xdr:to>
        <xdr:sp macro="" textlink="">
          <xdr:nvSpPr>
            <xdr:cNvPr id="12289" name="Drop Down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5</xdr:col>
          <xdr:colOff>104775</xdr:colOff>
          <xdr:row>8</xdr:row>
          <xdr:rowOff>209550</xdr:rowOff>
        </xdr:to>
        <xdr:sp macro="" textlink="">
          <xdr:nvSpPr>
            <xdr:cNvPr id="12302" name="Drop Down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9525</xdr:colOff>
      <xdr:row>24</xdr:row>
      <xdr:rowOff>0</xdr:rowOff>
    </xdr:from>
    <xdr:to>
      <xdr:col>3</xdr:col>
      <xdr:colOff>1685925</xdr:colOff>
      <xdr:row>26</xdr:row>
      <xdr:rowOff>142875</xdr:rowOff>
    </xdr:to>
    <xdr:grpSp>
      <xdr:nvGrpSpPr>
        <xdr:cNvPr id="12317" name="Group 29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952625" y="5943600"/>
          <a:ext cx="1676400" cy="504825"/>
          <a:chOff x="203" y="634"/>
          <a:chExt cx="176" cy="53"/>
        </a:xfrm>
      </xdr:grpSpPr>
      <xdr:pic>
        <xdr:nvPicPr>
          <xdr:cNvPr id="12318" name="Picture 20">
            <a:hlinkClick xmlns:r="http://schemas.openxmlformats.org/officeDocument/2006/relationships" r:id="rId2" tooltip="zurück zum Start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3" y="634"/>
            <a:ext cx="176" cy="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93" name="Rectangle 21"/>
          <xdr:cNvSpPr>
            <a:spLocks noChangeArrowheads="1"/>
          </xdr:cNvSpPr>
        </xdr:nvSpPr>
        <xdr:spPr bwMode="auto">
          <a:xfrm>
            <a:off x="224" y="649"/>
            <a:ext cx="81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800" b="0" i="0" strike="noStrike">
                <a:solidFill>
                  <a:srgbClr val="000000"/>
                </a:solidFill>
                <a:latin typeface="Arial"/>
                <a:cs typeface="Arial"/>
              </a:rPr>
              <a:t>zurück zum Start</a:t>
            </a:r>
          </a:p>
        </xdr:txBody>
      </xdr:sp>
    </xdr:grpSp>
    <xdr:clientData/>
  </xdr:twoCellAnchor>
  <xdr:twoCellAnchor editAs="oneCell">
    <xdr:from>
      <xdr:col>7</xdr:col>
      <xdr:colOff>952500</xdr:colOff>
      <xdr:row>2</xdr:row>
      <xdr:rowOff>238125</xdr:rowOff>
    </xdr:from>
    <xdr:to>
      <xdr:col>16</xdr:col>
      <xdr:colOff>742949</xdr:colOff>
      <xdr:row>9</xdr:row>
      <xdr:rowOff>100012</xdr:rowOff>
    </xdr:to>
    <xdr:pic>
      <xdr:nvPicPr>
        <xdr:cNvPr id="8" name="Obrázek 7" descr="Logo G-TERM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625" y="733425"/>
          <a:ext cx="3190874" cy="1595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6</xdr:row>
          <xdr:rowOff>28575</xdr:rowOff>
        </xdr:from>
        <xdr:to>
          <xdr:col>5</xdr:col>
          <xdr:colOff>9525</xdr:colOff>
          <xdr:row>6</xdr:row>
          <xdr:rowOff>228600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104775</xdr:colOff>
          <xdr:row>8</xdr:row>
          <xdr:rowOff>38100</xdr:rowOff>
        </xdr:from>
        <xdr:to>
          <xdr:col>4</xdr:col>
          <xdr:colOff>838200</xdr:colOff>
          <xdr:row>8</xdr:row>
          <xdr:rowOff>238125</xdr:rowOff>
        </xdr:to>
        <xdr:sp macro="" textlink="">
          <xdr:nvSpPr>
            <xdr:cNvPr id="19458" name="Drop Down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9525</xdr:colOff>
      <xdr:row>24</xdr:row>
      <xdr:rowOff>0</xdr:rowOff>
    </xdr:from>
    <xdr:to>
      <xdr:col>3</xdr:col>
      <xdr:colOff>1685925</xdr:colOff>
      <xdr:row>26</xdr:row>
      <xdr:rowOff>142875</xdr:rowOff>
    </xdr:to>
    <xdr:grpSp>
      <xdr:nvGrpSpPr>
        <xdr:cNvPr id="19482" name="Group 26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952625" y="5943600"/>
          <a:ext cx="1676400" cy="504825"/>
          <a:chOff x="203" y="634"/>
          <a:chExt cx="176" cy="53"/>
        </a:xfrm>
      </xdr:grpSpPr>
      <xdr:pic>
        <xdr:nvPicPr>
          <xdr:cNvPr id="19483" name="Picture 20">
            <a:hlinkClick xmlns:r="http://schemas.openxmlformats.org/officeDocument/2006/relationships" r:id="rId2" tooltip="zurück zum Start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3" y="634"/>
            <a:ext cx="176" cy="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93" name="Rectangle 21"/>
          <xdr:cNvSpPr>
            <a:spLocks noChangeArrowheads="1"/>
          </xdr:cNvSpPr>
        </xdr:nvSpPr>
        <xdr:spPr bwMode="auto">
          <a:xfrm>
            <a:off x="224" y="649"/>
            <a:ext cx="81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800" b="0" i="0" strike="noStrike">
                <a:solidFill>
                  <a:srgbClr val="000000"/>
                </a:solidFill>
                <a:latin typeface="Arial"/>
                <a:cs typeface="Arial"/>
              </a:rPr>
              <a:t>zurück zum Start</a:t>
            </a:r>
          </a:p>
        </xdr:txBody>
      </xdr:sp>
    </xdr:grpSp>
    <xdr:clientData/>
  </xdr:twoCellAnchor>
  <xdr:twoCellAnchor editAs="oneCell">
    <xdr:from>
      <xdr:col>8</xdr:col>
      <xdr:colOff>76200</xdr:colOff>
      <xdr:row>3</xdr:row>
      <xdr:rowOff>66675</xdr:rowOff>
    </xdr:from>
    <xdr:to>
      <xdr:col>12</xdr:col>
      <xdr:colOff>571500</xdr:colOff>
      <xdr:row>8</xdr:row>
      <xdr:rowOff>219075</xdr:rowOff>
    </xdr:to>
    <xdr:pic>
      <xdr:nvPicPr>
        <xdr:cNvPr id="9" name="Obrázek 8" descr="Logo G-TERM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809625"/>
          <a:ext cx="2781300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16</xdr:row>
      <xdr:rowOff>85725</xdr:rowOff>
    </xdr:from>
    <xdr:to>
      <xdr:col>2</xdr:col>
      <xdr:colOff>704850</xdr:colOff>
      <xdr:row>16</xdr:row>
      <xdr:rowOff>85725</xdr:rowOff>
    </xdr:to>
    <xdr:sp macro="" textlink="">
      <xdr:nvSpPr>
        <xdr:cNvPr id="13317" name="Line 1"/>
        <xdr:cNvSpPr>
          <a:spLocks noChangeShapeType="1"/>
        </xdr:cNvSpPr>
      </xdr:nvSpPr>
      <xdr:spPr bwMode="auto">
        <a:xfrm>
          <a:off x="2305050" y="2676525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22</xdr:row>
      <xdr:rowOff>76200</xdr:rowOff>
    </xdr:from>
    <xdr:to>
      <xdr:col>2</xdr:col>
      <xdr:colOff>676275</xdr:colOff>
      <xdr:row>22</xdr:row>
      <xdr:rowOff>76200</xdr:rowOff>
    </xdr:to>
    <xdr:sp macro="" textlink="">
      <xdr:nvSpPr>
        <xdr:cNvPr id="13318" name="Line 2"/>
        <xdr:cNvSpPr>
          <a:spLocks noChangeShapeType="1"/>
        </xdr:cNvSpPr>
      </xdr:nvSpPr>
      <xdr:spPr bwMode="auto">
        <a:xfrm>
          <a:off x="2286000" y="3638550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17</xdr:row>
      <xdr:rowOff>85725</xdr:rowOff>
    </xdr:from>
    <xdr:to>
      <xdr:col>2</xdr:col>
      <xdr:colOff>409575</xdr:colOff>
      <xdr:row>17</xdr:row>
      <xdr:rowOff>85725</xdr:rowOff>
    </xdr:to>
    <xdr:sp macro="" textlink="">
      <xdr:nvSpPr>
        <xdr:cNvPr id="13319" name="Line 3"/>
        <xdr:cNvSpPr>
          <a:spLocks noChangeShapeType="1"/>
        </xdr:cNvSpPr>
      </xdr:nvSpPr>
      <xdr:spPr bwMode="auto">
        <a:xfrm>
          <a:off x="2305050" y="28384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20</xdr:row>
      <xdr:rowOff>85725</xdr:rowOff>
    </xdr:from>
    <xdr:to>
      <xdr:col>2</xdr:col>
      <xdr:colOff>390525</xdr:colOff>
      <xdr:row>20</xdr:row>
      <xdr:rowOff>85725</xdr:rowOff>
    </xdr:to>
    <xdr:sp macro="" textlink="">
      <xdr:nvSpPr>
        <xdr:cNvPr id="13320" name="Line 4"/>
        <xdr:cNvSpPr>
          <a:spLocks noChangeShapeType="1"/>
        </xdr:cNvSpPr>
      </xdr:nvSpPr>
      <xdr:spPr bwMode="auto">
        <a:xfrm>
          <a:off x="2295525" y="33242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16</xdr:row>
      <xdr:rowOff>85725</xdr:rowOff>
    </xdr:from>
    <xdr:to>
      <xdr:col>2</xdr:col>
      <xdr:colOff>704850</xdr:colOff>
      <xdr:row>16</xdr:row>
      <xdr:rowOff>85725</xdr:rowOff>
    </xdr:to>
    <xdr:sp macro="" textlink="">
      <xdr:nvSpPr>
        <xdr:cNvPr id="14341" name="Line 1"/>
        <xdr:cNvSpPr>
          <a:spLocks noChangeShapeType="1"/>
        </xdr:cNvSpPr>
      </xdr:nvSpPr>
      <xdr:spPr bwMode="auto">
        <a:xfrm>
          <a:off x="2200275" y="2676525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22</xdr:row>
      <xdr:rowOff>76200</xdr:rowOff>
    </xdr:from>
    <xdr:to>
      <xdr:col>2</xdr:col>
      <xdr:colOff>676275</xdr:colOff>
      <xdr:row>22</xdr:row>
      <xdr:rowOff>76200</xdr:rowOff>
    </xdr:to>
    <xdr:sp macro="" textlink="">
      <xdr:nvSpPr>
        <xdr:cNvPr id="14342" name="Line 2"/>
        <xdr:cNvSpPr>
          <a:spLocks noChangeShapeType="1"/>
        </xdr:cNvSpPr>
      </xdr:nvSpPr>
      <xdr:spPr bwMode="auto">
        <a:xfrm>
          <a:off x="2181225" y="3638550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17</xdr:row>
      <xdr:rowOff>85725</xdr:rowOff>
    </xdr:from>
    <xdr:to>
      <xdr:col>2</xdr:col>
      <xdr:colOff>409575</xdr:colOff>
      <xdr:row>17</xdr:row>
      <xdr:rowOff>85725</xdr:rowOff>
    </xdr:to>
    <xdr:sp macro="" textlink="">
      <xdr:nvSpPr>
        <xdr:cNvPr id="14343" name="Line 3"/>
        <xdr:cNvSpPr>
          <a:spLocks noChangeShapeType="1"/>
        </xdr:cNvSpPr>
      </xdr:nvSpPr>
      <xdr:spPr bwMode="auto">
        <a:xfrm>
          <a:off x="2200275" y="28384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20</xdr:row>
      <xdr:rowOff>85725</xdr:rowOff>
    </xdr:from>
    <xdr:to>
      <xdr:col>2</xdr:col>
      <xdr:colOff>390525</xdr:colOff>
      <xdr:row>20</xdr:row>
      <xdr:rowOff>85725</xdr:rowOff>
    </xdr:to>
    <xdr:sp macro="" textlink="">
      <xdr:nvSpPr>
        <xdr:cNvPr id="14344" name="Line 4"/>
        <xdr:cNvSpPr>
          <a:spLocks noChangeShapeType="1"/>
        </xdr:cNvSpPr>
      </xdr:nvSpPr>
      <xdr:spPr bwMode="auto">
        <a:xfrm>
          <a:off x="2190750" y="33242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16</xdr:row>
      <xdr:rowOff>85725</xdr:rowOff>
    </xdr:from>
    <xdr:to>
      <xdr:col>2</xdr:col>
      <xdr:colOff>704850</xdr:colOff>
      <xdr:row>16</xdr:row>
      <xdr:rowOff>85725</xdr:rowOff>
    </xdr:to>
    <xdr:sp macro="" textlink="">
      <xdr:nvSpPr>
        <xdr:cNvPr id="15365" name="Line 1"/>
        <xdr:cNvSpPr>
          <a:spLocks noChangeShapeType="1"/>
        </xdr:cNvSpPr>
      </xdr:nvSpPr>
      <xdr:spPr bwMode="auto">
        <a:xfrm>
          <a:off x="2200275" y="2676525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22</xdr:row>
      <xdr:rowOff>76200</xdr:rowOff>
    </xdr:from>
    <xdr:to>
      <xdr:col>2</xdr:col>
      <xdr:colOff>676275</xdr:colOff>
      <xdr:row>22</xdr:row>
      <xdr:rowOff>76200</xdr:rowOff>
    </xdr:to>
    <xdr:sp macro="" textlink="">
      <xdr:nvSpPr>
        <xdr:cNvPr id="15366" name="Line 2"/>
        <xdr:cNvSpPr>
          <a:spLocks noChangeShapeType="1"/>
        </xdr:cNvSpPr>
      </xdr:nvSpPr>
      <xdr:spPr bwMode="auto">
        <a:xfrm>
          <a:off x="2181225" y="3638550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17</xdr:row>
      <xdr:rowOff>85725</xdr:rowOff>
    </xdr:from>
    <xdr:to>
      <xdr:col>2</xdr:col>
      <xdr:colOff>409575</xdr:colOff>
      <xdr:row>17</xdr:row>
      <xdr:rowOff>85725</xdr:rowOff>
    </xdr:to>
    <xdr:sp macro="" textlink="">
      <xdr:nvSpPr>
        <xdr:cNvPr id="15367" name="Line 3"/>
        <xdr:cNvSpPr>
          <a:spLocks noChangeShapeType="1"/>
        </xdr:cNvSpPr>
      </xdr:nvSpPr>
      <xdr:spPr bwMode="auto">
        <a:xfrm>
          <a:off x="2200275" y="28384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20</xdr:row>
      <xdr:rowOff>85725</xdr:rowOff>
    </xdr:from>
    <xdr:to>
      <xdr:col>2</xdr:col>
      <xdr:colOff>390525</xdr:colOff>
      <xdr:row>20</xdr:row>
      <xdr:rowOff>85725</xdr:rowOff>
    </xdr:to>
    <xdr:sp macro="" textlink="">
      <xdr:nvSpPr>
        <xdr:cNvPr id="15368" name="Line 4"/>
        <xdr:cNvSpPr>
          <a:spLocks noChangeShapeType="1"/>
        </xdr:cNvSpPr>
      </xdr:nvSpPr>
      <xdr:spPr bwMode="auto">
        <a:xfrm>
          <a:off x="2190750" y="33242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2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4" Type="http://schemas.openxmlformats.org/officeDocument/2006/relationships/comments" Target="../comments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17" sqref="B17"/>
    </sheetView>
  </sheetViews>
  <sheetFormatPr defaultColWidth="11.42578125" defaultRowHeight="12.75"/>
  <cols>
    <col min="1" max="1" width="22.28515625" customWidth="1"/>
    <col min="2" max="2" width="11.5703125" bestFit="1" customWidth="1"/>
  </cols>
  <sheetData>
    <row r="1" spans="1:7">
      <c r="A1" t="s">
        <v>0</v>
      </c>
    </row>
    <row r="2" spans="1:7">
      <c r="A2" s="5" t="s">
        <v>1</v>
      </c>
      <c r="B2" s="6">
        <f>'Druckverlust der K - BeKa Matte'!$G$13</f>
        <v>30</v>
      </c>
    </row>
    <row r="3" spans="1:7">
      <c r="A3" s="5" t="s">
        <v>2</v>
      </c>
      <c r="B3" s="6">
        <f>'Druckverlust der K - BeKa Matte'!$G$10</f>
        <v>1</v>
      </c>
    </row>
    <row r="4" spans="1:7">
      <c r="A4" s="5" t="s">
        <v>3</v>
      </c>
      <c r="B4" s="6">
        <f>'Druckverlust der K - BeKa Matte'!$G$11</f>
        <v>0.4</v>
      </c>
    </row>
    <row r="5" spans="1:7">
      <c r="A5" s="7" t="s">
        <v>4</v>
      </c>
      <c r="B5" s="6">
        <v>2.2999999999999998</v>
      </c>
    </row>
    <row r="6" spans="1:7">
      <c r="A6" t="s">
        <v>5</v>
      </c>
      <c r="B6" s="8">
        <v>30</v>
      </c>
    </row>
    <row r="7" spans="1:7">
      <c r="A7" t="s">
        <v>6</v>
      </c>
      <c r="B7" s="9">
        <f>ROUND(B4/B6*1000,0)-1</f>
        <v>12</v>
      </c>
      <c r="C7" t="s">
        <v>7</v>
      </c>
    </row>
    <row r="8" spans="1:7">
      <c r="A8" s="7" t="s">
        <v>8</v>
      </c>
      <c r="B8" s="6">
        <v>16</v>
      </c>
    </row>
    <row r="9" spans="1:7">
      <c r="A9" s="7" t="s">
        <v>9</v>
      </c>
      <c r="B9" s="6">
        <v>0.04</v>
      </c>
    </row>
    <row r="11" spans="1:7">
      <c r="A11" t="s">
        <v>10</v>
      </c>
      <c r="E11" t="s">
        <v>11</v>
      </c>
    </row>
    <row r="12" spans="1:7">
      <c r="A12" s="10" t="s">
        <v>12</v>
      </c>
      <c r="B12" s="11">
        <f>B3*B4*B2/60/B7*21.22/B5^2</f>
        <v>6.685570258349087E-2</v>
      </c>
      <c r="C12" s="11">
        <f>0.3164*B13^-0.25</f>
        <v>8.9850376554163836E-2</v>
      </c>
      <c r="E12" s="10" t="s">
        <v>12</v>
      </c>
      <c r="F12" s="11">
        <f>B3*B4*B2/60*21.22/B8^2</f>
        <v>1.6578124999999999E-2</v>
      </c>
      <c r="G12" s="11">
        <f>0.3164*F13^-0.25</f>
        <v>7.8401184959382128E-2</v>
      </c>
    </row>
    <row r="13" spans="1:7">
      <c r="A13" s="10" t="s">
        <v>13</v>
      </c>
      <c r="B13" s="11">
        <f>B12*B5*10^3</f>
        <v>153.768115942029</v>
      </c>
      <c r="C13" s="11">
        <f>64/B13</f>
        <v>0.41621112158341184</v>
      </c>
      <c r="E13" s="10" t="s">
        <v>13</v>
      </c>
      <c r="F13" s="11">
        <f>F12*B8*10^3</f>
        <v>265.25</v>
      </c>
      <c r="G13" s="11">
        <f>64/F13</f>
        <v>0.2412818096135721</v>
      </c>
    </row>
    <row r="14" spans="1:7">
      <c r="A14" s="12" t="s">
        <v>14</v>
      </c>
      <c r="B14" s="11">
        <f>IF(B13&gt;2300,C12,C13)</f>
        <v>0.41621112158341184</v>
      </c>
      <c r="C14" s="11"/>
      <c r="E14" s="12" t="s">
        <v>14</v>
      </c>
      <c r="F14" s="11">
        <f>IF(F13&gt;2300,G12,G13)</f>
        <v>0.2412818096135721</v>
      </c>
      <c r="G14" s="11"/>
    </row>
    <row r="15" spans="1:7">
      <c r="A15" s="12"/>
      <c r="B15" s="11"/>
      <c r="C15" s="11"/>
    </row>
    <row r="16" spans="1:7">
      <c r="A16" s="13" t="s">
        <v>15</v>
      </c>
      <c r="B16" s="11"/>
      <c r="C16" s="11"/>
    </row>
    <row r="17" spans="1:6">
      <c r="A17" s="5" t="s">
        <v>16</v>
      </c>
      <c r="B17" s="14">
        <f>((B14*B3*998.4*B12^2/(B5*10^-3*2))+(F14*B4/(B8*10^-3)+B9*B7)*F12^2*998.4/2)*2</f>
        <v>809.33298304298603</v>
      </c>
      <c r="E17" s="7"/>
    </row>
    <row r="18" spans="1:6">
      <c r="A18" t="s">
        <v>17</v>
      </c>
      <c r="B18" s="15">
        <f>(B14*B3*998.4*B12^2/(B5*10^-3*2))*2</f>
        <v>807.54611368598603</v>
      </c>
      <c r="E18" s="5"/>
      <c r="F18" s="15"/>
    </row>
    <row r="19" spans="1:6">
      <c r="B19" s="15"/>
    </row>
    <row r="20" spans="1:6">
      <c r="A20" t="s">
        <v>18</v>
      </c>
    </row>
    <row r="21" spans="1:6">
      <c r="A21" s="5" t="s">
        <v>16</v>
      </c>
      <c r="B21" s="14">
        <f>((10^-3*B3*B4*(B2/60/60))^2*8*998.4/PI()^2)*1/(B7*(SQRT((B5*10^-3)^5/(B9*B5*10^-3+B14*2*B3))))^2</f>
        <v>807.68553435632691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E29" sqref="E29"/>
    </sheetView>
  </sheetViews>
  <sheetFormatPr defaultColWidth="11.42578125" defaultRowHeight="12.75"/>
  <cols>
    <col min="1" max="1" width="21.28515625" customWidth="1"/>
    <col min="2" max="2" width="11.5703125" bestFit="1" customWidth="1"/>
  </cols>
  <sheetData>
    <row r="1" spans="1:7">
      <c r="A1" t="s">
        <v>24</v>
      </c>
    </row>
    <row r="2" spans="1:7">
      <c r="A2" s="5" t="s">
        <v>1</v>
      </c>
      <c r="B2" s="6">
        <f>'Reihenschaltung ohne Schläuche'!G15</f>
        <v>224</v>
      </c>
    </row>
    <row r="3" spans="1:7">
      <c r="A3" s="5" t="s">
        <v>2</v>
      </c>
      <c r="B3" s="6">
        <f>'Reihenschaltung ohne Schläuche'!G10</f>
        <v>4</v>
      </c>
    </row>
    <row r="4" spans="1:7">
      <c r="A4" s="5" t="s">
        <v>3</v>
      </c>
      <c r="B4" s="6">
        <f>'Reihenschaltung ohne Schläuche'!G11</f>
        <v>1</v>
      </c>
    </row>
    <row r="5" spans="1:7">
      <c r="A5" s="7" t="s">
        <v>4</v>
      </c>
      <c r="B5" s="6">
        <v>2.2999999999999998</v>
      </c>
    </row>
    <row r="6" spans="1:7">
      <c r="A6" t="s">
        <v>5</v>
      </c>
      <c r="B6" s="8">
        <v>20</v>
      </c>
    </row>
    <row r="7" spans="1:7">
      <c r="A7" t="s">
        <v>6</v>
      </c>
      <c r="B7" s="9">
        <f>ROUND((B4-0.04)/B6*1000,0)</f>
        <v>48</v>
      </c>
      <c r="C7" t="s">
        <v>7</v>
      </c>
    </row>
    <row r="8" spans="1:7">
      <c r="A8" s="7" t="s">
        <v>8</v>
      </c>
      <c r="B8" s="6">
        <v>16</v>
      </c>
    </row>
    <row r="9" spans="1:7">
      <c r="A9" s="7" t="s">
        <v>9</v>
      </c>
      <c r="B9" s="6">
        <v>0.04</v>
      </c>
    </row>
    <row r="11" spans="1:7">
      <c r="A11" t="s">
        <v>10</v>
      </c>
      <c r="E11" t="s">
        <v>11</v>
      </c>
    </row>
    <row r="12" spans="1:7">
      <c r="A12" s="10" t="s">
        <v>12</v>
      </c>
      <c r="B12" s="11">
        <f>B2/60/B7*21.22/B5^2</f>
        <v>0.3119932787229574</v>
      </c>
      <c r="C12" s="11">
        <f>0.3164*B13^-0.25</f>
        <v>6.1131943956557348E-2</v>
      </c>
      <c r="E12" s="10" t="s">
        <v>12</v>
      </c>
      <c r="F12" s="11">
        <f>B2/60*21.22/B8^2</f>
        <v>0.30945833333333334</v>
      </c>
      <c r="G12" s="11">
        <f>0.3164*F13^-0.25</f>
        <v>3.7718632042541653E-2</v>
      </c>
    </row>
    <row r="13" spans="1:7">
      <c r="A13" s="10" t="s">
        <v>13</v>
      </c>
      <c r="B13" s="11">
        <f>B12*B5*10^3</f>
        <v>717.58454106280203</v>
      </c>
      <c r="C13" s="11">
        <f>64/B13</f>
        <v>8.9188097482159681E-2</v>
      </c>
      <c r="E13" s="10" t="s">
        <v>13</v>
      </c>
      <c r="F13" s="11">
        <f>F12*B8*10^3</f>
        <v>4951.333333333333</v>
      </c>
      <c r="G13" s="11">
        <f>64/F13</f>
        <v>1.2925811229298506E-2</v>
      </c>
    </row>
    <row r="14" spans="1:7">
      <c r="A14" s="12" t="s">
        <v>14</v>
      </c>
      <c r="B14" s="11">
        <f>IF(B13&gt;2300,C12,C13)</f>
        <v>8.9188097482159681E-2</v>
      </c>
      <c r="C14" s="11"/>
      <c r="E14" s="12" t="s">
        <v>14</v>
      </c>
      <c r="F14" s="11">
        <f>IF(F13&gt;2300,G12,G13)</f>
        <v>3.7718632042541653E-2</v>
      </c>
      <c r="G14" s="11"/>
    </row>
    <row r="15" spans="1:7">
      <c r="A15" s="12"/>
      <c r="B15" s="11"/>
      <c r="C15" s="11"/>
    </row>
    <row r="16" spans="1:7">
      <c r="A16" s="13" t="s">
        <v>15</v>
      </c>
      <c r="B16" s="11"/>
      <c r="C16" s="11"/>
    </row>
    <row r="17" spans="1:6">
      <c r="A17" s="5" t="s">
        <v>16</v>
      </c>
      <c r="B17" s="14">
        <f>((B14*B3*998.4*B12^2/(B5*10^-3*2))+(F14*B4/(B8*10^-3)+B9*B7)*F12^2*998.4/2)</f>
        <v>7741.5815068070997</v>
      </c>
      <c r="E17" s="7"/>
    </row>
    <row r="18" spans="1:6">
      <c r="A18" t="s">
        <v>17</v>
      </c>
      <c r="B18" s="15">
        <f>(B14*B3*998.4*B12^2/(B5*10^-3*2))</f>
        <v>7537.0970610692038</v>
      </c>
      <c r="E18" s="5"/>
      <c r="F18" s="15"/>
    </row>
    <row r="19" spans="1:6">
      <c r="B19" s="15"/>
    </row>
    <row r="20" spans="1:6">
      <c r="A20" t="s">
        <v>18</v>
      </c>
    </row>
    <row r="21" spans="1:6">
      <c r="A21" s="5" t="s">
        <v>16</v>
      </c>
      <c r="B21" s="14">
        <f>((10^-3*B3*B4*(B2/60/60))^2*8*998.4/PI()^2)*1/(B7*(SQRT((B5*10^-3)^5/(B9*B5*10^-3+B14*B3))))^2</f>
        <v>120632.14503441961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17" sqref="B17"/>
    </sheetView>
  </sheetViews>
  <sheetFormatPr defaultColWidth="11.42578125" defaultRowHeight="12.75"/>
  <cols>
    <col min="1" max="1" width="22.28515625" customWidth="1"/>
  </cols>
  <sheetData>
    <row r="1" spans="1:7">
      <c r="A1" t="s">
        <v>25</v>
      </c>
    </row>
    <row r="2" spans="1:7">
      <c r="A2" s="5" t="s">
        <v>1</v>
      </c>
      <c r="B2" s="6">
        <f>'Druckverlust der K - BeKa Matte'!$G$13</f>
        <v>30</v>
      </c>
    </row>
    <row r="3" spans="1:7">
      <c r="A3" s="5" t="s">
        <v>2</v>
      </c>
      <c r="B3" s="6">
        <f>'Druckverlust der K - BeKa Matte'!$G$10</f>
        <v>1</v>
      </c>
    </row>
    <row r="4" spans="1:7">
      <c r="A4" s="5" t="s">
        <v>3</v>
      </c>
      <c r="B4" s="6">
        <f>'Druckverlust der K - BeKa Matte'!$G$11</f>
        <v>0.4</v>
      </c>
    </row>
    <row r="5" spans="1:7">
      <c r="A5" s="7" t="s">
        <v>4</v>
      </c>
      <c r="B5" s="6">
        <v>2.2999999999999998</v>
      </c>
    </row>
    <row r="6" spans="1:7">
      <c r="A6" t="s">
        <v>5</v>
      </c>
      <c r="B6" s="8">
        <v>30</v>
      </c>
    </row>
    <row r="7" spans="1:7">
      <c r="A7" t="s">
        <v>6</v>
      </c>
      <c r="B7" s="9">
        <f>ROUND((B4-0.04)/B6*1000,0)</f>
        <v>12</v>
      </c>
      <c r="C7" t="s">
        <v>7</v>
      </c>
    </row>
    <row r="8" spans="1:7">
      <c r="A8" s="7" t="s">
        <v>8</v>
      </c>
      <c r="B8" s="6">
        <v>16</v>
      </c>
    </row>
    <row r="9" spans="1:7">
      <c r="A9" s="7" t="s">
        <v>9</v>
      </c>
      <c r="B9" s="6">
        <v>0.04</v>
      </c>
    </row>
    <row r="11" spans="1:7">
      <c r="A11" t="s">
        <v>10</v>
      </c>
      <c r="E11" t="s">
        <v>11</v>
      </c>
    </row>
    <row r="12" spans="1:7">
      <c r="A12" s="10" t="s">
        <v>12</v>
      </c>
      <c r="B12" s="11">
        <f>B3*B4*B2/60/B7*21.22/B5^2</f>
        <v>6.685570258349087E-2</v>
      </c>
      <c r="C12" s="11">
        <f>0.3164*B13^-0.25</f>
        <v>8.9850376554163836E-2</v>
      </c>
      <c r="E12" s="10" t="s">
        <v>12</v>
      </c>
      <c r="F12" s="11">
        <f>B3*B4*B2/60*21.22/B8^2</f>
        <v>1.6578124999999999E-2</v>
      </c>
      <c r="G12" s="11">
        <f>0.3164*F13^-0.25</f>
        <v>7.8401184959382128E-2</v>
      </c>
    </row>
    <row r="13" spans="1:7">
      <c r="A13" s="10" t="s">
        <v>13</v>
      </c>
      <c r="B13" s="11">
        <f>B12*B5*10^3</f>
        <v>153.768115942029</v>
      </c>
      <c r="C13" s="11">
        <f>64/B13</f>
        <v>0.41621112158341184</v>
      </c>
      <c r="E13" s="10" t="s">
        <v>13</v>
      </c>
      <c r="F13" s="11">
        <f>F12*B8*10^3</f>
        <v>265.25</v>
      </c>
      <c r="G13" s="11">
        <f>64/F13</f>
        <v>0.2412818096135721</v>
      </c>
    </row>
    <row r="14" spans="1:7">
      <c r="A14" s="12" t="s">
        <v>14</v>
      </c>
      <c r="B14" s="11">
        <f>IF(B13&gt;2300,C12,C13)</f>
        <v>0.41621112158341184</v>
      </c>
      <c r="C14" s="11"/>
      <c r="E14" s="12" t="s">
        <v>14</v>
      </c>
      <c r="F14" s="11">
        <f>IF(F13&gt;2300,G12,G13)</f>
        <v>0.2412818096135721</v>
      </c>
      <c r="G14" s="11"/>
    </row>
    <row r="15" spans="1:7">
      <c r="A15" s="12"/>
      <c r="B15" s="11"/>
      <c r="C15" s="11"/>
    </row>
    <row r="16" spans="1:7">
      <c r="A16" s="13" t="s">
        <v>15</v>
      </c>
      <c r="B16" s="11"/>
      <c r="C16" s="11"/>
    </row>
    <row r="17" spans="1:6">
      <c r="A17" s="5" t="s">
        <v>16</v>
      </c>
      <c r="B17" s="14">
        <f>((B14*B3*998.4*B12^2/(B5*10^-3*2))+(F14*B4/(B8*10^-3)+B9*B7)*F12^2*998.4/2)</f>
        <v>404.66649152149301</v>
      </c>
      <c r="E17" s="7"/>
    </row>
    <row r="18" spans="1:6">
      <c r="A18" t="s">
        <v>17</v>
      </c>
      <c r="B18" s="15">
        <f>(B14*B3*998.4*B12^2/(B5*10^-3*2))</f>
        <v>403.77305684299301</v>
      </c>
      <c r="E18" s="5"/>
      <c r="F18" s="15"/>
    </row>
    <row r="19" spans="1:6">
      <c r="B19" s="15"/>
    </row>
    <row r="20" spans="1:6">
      <c r="A20" t="s">
        <v>18</v>
      </c>
    </row>
    <row r="21" spans="1:6">
      <c r="A21" s="5" t="s">
        <v>16</v>
      </c>
      <c r="B21" s="14">
        <f>((10^-3*B3*B4*(B2/60/60))^2*8*998.4/PI()^2)*1/(B7*(SQRT((B5*10^-3)^5/(B9*B5*10^-3+B14*B3))))^2</f>
        <v>403.88739528499184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E29" sqref="E29"/>
    </sheetView>
  </sheetViews>
  <sheetFormatPr defaultColWidth="11.42578125" defaultRowHeight="12.75"/>
  <cols>
    <col min="1" max="1" width="22.28515625" customWidth="1"/>
    <col min="2" max="2" width="11.5703125" bestFit="1" customWidth="1"/>
  </cols>
  <sheetData>
    <row r="1" spans="1:7">
      <c r="A1" t="s">
        <v>25</v>
      </c>
    </row>
    <row r="2" spans="1:7">
      <c r="A2" s="5" t="s">
        <v>1</v>
      </c>
      <c r="B2" s="6">
        <f>'Reihenschaltung ohne Schläuche'!G15</f>
        <v>224</v>
      </c>
    </row>
    <row r="3" spans="1:7">
      <c r="A3" s="5" t="s">
        <v>2</v>
      </c>
      <c r="B3" s="6">
        <f>'Reihenschaltung ohne Schläuche'!G10</f>
        <v>4</v>
      </c>
    </row>
    <row r="4" spans="1:7">
      <c r="A4" s="5" t="s">
        <v>3</v>
      </c>
      <c r="B4" s="6">
        <f>'Reihenschaltung ohne Schläuche'!G11</f>
        <v>1</v>
      </c>
    </row>
    <row r="5" spans="1:7">
      <c r="A5" s="7" t="s">
        <v>4</v>
      </c>
      <c r="B5" s="6">
        <v>2.2999999999999998</v>
      </c>
    </row>
    <row r="6" spans="1:7">
      <c r="A6" t="s">
        <v>5</v>
      </c>
      <c r="B6" s="8">
        <v>30</v>
      </c>
    </row>
    <row r="7" spans="1:7">
      <c r="A7" t="s">
        <v>6</v>
      </c>
      <c r="B7" s="9">
        <f>ROUND((B4-0.04)/B6*1000,0)</f>
        <v>32</v>
      </c>
      <c r="C7" t="s">
        <v>7</v>
      </c>
    </row>
    <row r="8" spans="1:7">
      <c r="A8" s="7" t="s">
        <v>8</v>
      </c>
      <c r="B8" s="6">
        <v>16</v>
      </c>
    </row>
    <row r="9" spans="1:7">
      <c r="A9" s="7" t="s">
        <v>9</v>
      </c>
      <c r="B9" s="6">
        <v>0.04</v>
      </c>
    </row>
    <row r="11" spans="1:7">
      <c r="A11" t="s">
        <v>10</v>
      </c>
      <c r="E11" t="s">
        <v>11</v>
      </c>
    </row>
    <row r="12" spans="1:7">
      <c r="A12" s="10" t="s">
        <v>12</v>
      </c>
      <c r="B12" s="11">
        <f>B2/60/B7*21.22/B5^2</f>
        <v>0.46798991808443613</v>
      </c>
      <c r="C12" s="11">
        <f>0.3164*B13^-0.25</f>
        <v>5.523894704370997E-2</v>
      </c>
      <c r="E12" s="10" t="s">
        <v>12</v>
      </c>
      <c r="F12" s="11">
        <f>B2/60*21.22/B8^2</f>
        <v>0.30945833333333334</v>
      </c>
      <c r="G12" s="11">
        <f>0.3164*F13^-0.25</f>
        <v>3.7718632042541653E-2</v>
      </c>
    </row>
    <row r="13" spans="1:7">
      <c r="A13" s="10" t="s">
        <v>13</v>
      </c>
      <c r="B13" s="11">
        <f>B12*B5*10^3</f>
        <v>1076.376811594203</v>
      </c>
      <c r="C13" s="11">
        <f>64/B13</f>
        <v>5.9458731654773118E-2</v>
      </c>
      <c r="E13" s="10" t="s">
        <v>13</v>
      </c>
      <c r="F13" s="11">
        <f>F12*B8*10^3</f>
        <v>4951.333333333333</v>
      </c>
      <c r="G13" s="11">
        <f>64/F13</f>
        <v>1.2925811229298506E-2</v>
      </c>
    </row>
    <row r="14" spans="1:7">
      <c r="A14" s="12" t="s">
        <v>14</v>
      </c>
      <c r="B14" s="11">
        <f>IF(B13&gt;2300,C12,C13)</f>
        <v>5.9458731654773118E-2</v>
      </c>
      <c r="C14" s="11"/>
      <c r="E14" s="12" t="s">
        <v>14</v>
      </c>
      <c r="F14" s="11">
        <f>IF(F13&gt;2300,G12,G13)</f>
        <v>3.7718632042541653E-2</v>
      </c>
      <c r="G14" s="11"/>
    </row>
    <row r="15" spans="1:7">
      <c r="A15" s="12"/>
      <c r="B15" s="11"/>
      <c r="C15" s="11"/>
    </row>
    <row r="16" spans="1:7">
      <c r="A16" s="13" t="s">
        <v>15</v>
      </c>
      <c r="B16" s="11"/>
      <c r="C16" s="11"/>
    </row>
    <row r="17" spans="1:6">
      <c r="A17" s="5" t="s">
        <v>16</v>
      </c>
      <c r="B17" s="14">
        <f>((B14*B3*998.4*B12^2/(B5*10^-3*2))+(F14*B4/(B8*10^-3)+B9*B7)*F12^2*998.4/2)</f>
        <v>11479.534441523034</v>
      </c>
      <c r="E17" s="7"/>
    </row>
    <row r="18" spans="1:6">
      <c r="A18" t="s">
        <v>17</v>
      </c>
      <c r="B18" s="15">
        <f>(B14*B3*998.4*B12^2/(B5*10^-3*2))</f>
        <v>11305.645591603805</v>
      </c>
      <c r="E18" s="5"/>
      <c r="F18" s="15"/>
    </row>
    <row r="19" spans="1:6">
      <c r="B19" s="15"/>
    </row>
    <row r="20" spans="1:6">
      <c r="A20" t="s">
        <v>18</v>
      </c>
    </row>
    <row r="21" spans="1:6">
      <c r="A21" s="5" t="s">
        <v>16</v>
      </c>
      <c r="B21" s="14">
        <f>((10^-3*B3*B4*(B2/60/60))^2*8*998.4/PI()^2)*1/(B7*(SQRT((B5*10^-3)^5/(B9*B5*10^-3+B14*B3))))^2</f>
        <v>180971.54317546519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workbookViewId="0">
      <selection activeCell="C21" sqref="C21"/>
    </sheetView>
  </sheetViews>
  <sheetFormatPr defaultColWidth="11.42578125" defaultRowHeight="12.75"/>
  <cols>
    <col min="1" max="1" width="12.42578125" customWidth="1"/>
    <col min="2" max="2" width="7.7109375" customWidth="1"/>
    <col min="8" max="8" width="27.28515625" customWidth="1"/>
  </cols>
  <sheetData>
    <row r="1" spans="1:16">
      <c r="A1" t="s">
        <v>26</v>
      </c>
    </row>
    <row r="3" spans="1:16">
      <c r="A3" s="5" t="s">
        <v>27</v>
      </c>
      <c r="B3" s="5"/>
      <c r="C3" s="16">
        <f>'Druckverlust der K - BeKa Matte'!$G$14</f>
        <v>12</v>
      </c>
    </row>
    <row r="4" spans="1:16">
      <c r="A4" t="s">
        <v>28</v>
      </c>
      <c r="C4" s="17">
        <f>C43+C40+C35+C31+C26+C23+C18+C14+C9</f>
        <v>46.739708514163013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>
      <c r="A6" t="s">
        <v>29</v>
      </c>
      <c r="H6">
        <f>SUM(H9:H43)</f>
        <v>46.739708514163006</v>
      </c>
    </row>
    <row r="7" spans="1:16">
      <c r="A7" s="5" t="s">
        <v>30</v>
      </c>
      <c r="B7" s="5"/>
      <c r="C7" s="18">
        <v>2.5000000000000001E-2</v>
      </c>
      <c r="D7" s="19"/>
      <c r="E7" s="10" t="s">
        <v>12</v>
      </c>
      <c r="F7" s="20">
        <f>C3/60*21.22/C8^2</f>
        <v>8.6612244897959184E-2</v>
      </c>
      <c r="G7" s="21">
        <f>0.3164*F8^-0.25</f>
        <v>6.3762764932131955E-2</v>
      </c>
    </row>
    <row r="8" spans="1:16">
      <c r="A8" s="7" t="s">
        <v>31</v>
      </c>
      <c r="B8" s="7"/>
      <c r="C8" s="16">
        <v>7</v>
      </c>
      <c r="D8" s="19"/>
      <c r="E8" s="10" t="s">
        <v>13</v>
      </c>
      <c r="F8" s="20">
        <f>F7*C8*10^3</f>
        <v>606.28571428571433</v>
      </c>
      <c r="G8" s="21">
        <f>64/F8</f>
        <v>0.10556079170593778</v>
      </c>
    </row>
    <row r="9" spans="1:16">
      <c r="A9" s="5" t="s">
        <v>32</v>
      </c>
      <c r="B9" s="5"/>
      <c r="C9" s="14">
        <f>$F9*$C$7*998.4*$F$7^2/($C$8*10^-3*2)</f>
        <v>1.4118149437734275</v>
      </c>
      <c r="D9" s="15"/>
      <c r="E9" s="12" t="s">
        <v>14</v>
      </c>
      <c r="F9" s="11">
        <f>IF(F8&gt;2300,G7,G8)</f>
        <v>0.10556079170593778</v>
      </c>
      <c r="G9" s="21"/>
      <c r="H9" s="14">
        <f>IF($C$3/60*21.22/$C$8^2*$C$8*10^3&gt;2300,0.3164*($C$3/60*21.22/$C$8^2*$C$8*10^3)^-0.25,64/($C$3/60*21.22/$C$8^2*$C$8*10^3))*$C$7*998.4*($C$3/60*21.22/$C$8^2)^2/($C$8*10^-3*2)</f>
        <v>1.4118149437734275</v>
      </c>
    </row>
    <row r="10" spans="1:16">
      <c r="A10" s="5"/>
      <c r="B10" s="5"/>
      <c r="C10" s="22"/>
      <c r="D10" s="15"/>
      <c r="E10" s="12"/>
      <c r="F10" s="11"/>
      <c r="G10" s="21"/>
    </row>
    <row r="11" spans="1:16">
      <c r="A11" t="s">
        <v>33</v>
      </c>
      <c r="G11" s="23"/>
    </row>
    <row r="12" spans="1:16">
      <c r="A12" s="5" t="s">
        <v>30</v>
      </c>
      <c r="B12" s="5"/>
      <c r="C12" s="18">
        <v>0.02</v>
      </c>
      <c r="D12" s="19"/>
      <c r="E12" s="10" t="s">
        <v>12</v>
      </c>
      <c r="F12" s="20">
        <f>C3/60*21.22/C13^2</f>
        <v>0.10044970414201183</v>
      </c>
      <c r="G12" s="21">
        <f>0.3164*F13^-0.25</f>
        <v>6.2592308627709273E-2</v>
      </c>
    </row>
    <row r="13" spans="1:16">
      <c r="A13" s="7" t="s">
        <v>34</v>
      </c>
      <c r="B13" s="7"/>
      <c r="C13" s="16">
        <v>6.5</v>
      </c>
      <c r="D13" s="19"/>
      <c r="E13" s="10" t="s">
        <v>13</v>
      </c>
      <c r="F13" s="20">
        <f>F12*C13*10^3</f>
        <v>652.92307692307691</v>
      </c>
      <c r="G13" s="21">
        <f>64/F13</f>
        <v>9.8020735155513669E-2</v>
      </c>
    </row>
    <row r="14" spans="1:16">
      <c r="A14" s="5" t="s">
        <v>35</v>
      </c>
      <c r="B14" s="5"/>
      <c r="C14" s="14">
        <f>F14*C12*998.4*F12^2/(C13*10^-3*2)</f>
        <v>1.5191704178425123</v>
      </c>
      <c r="D14" s="15"/>
      <c r="E14" s="12" t="s">
        <v>14</v>
      </c>
      <c r="F14" s="11">
        <f>IF(F13&gt;2300,G12,G13)</f>
        <v>9.8020735155513669E-2</v>
      </c>
      <c r="G14" s="21"/>
      <c r="H14" s="14">
        <f>IF($C$3/60*21.22/$C$13^2*$C$13*10^3&gt;2300,0.3164*($C$3/60*21.22/$C$13^2*$C$13*10^3)^-0.25,64/($C$3/60*21.22/$C$13^2*$C$13*10^3))*$C$12*998.4*($C$3/60*21.22/$C$13^2)^2/($C$13*10^-3*2)</f>
        <v>1.5191704178425123</v>
      </c>
    </row>
    <row r="15" spans="1:16">
      <c r="C15" s="22"/>
      <c r="G15" s="23"/>
    </row>
    <row r="16" spans="1:16">
      <c r="A16" t="s">
        <v>36</v>
      </c>
      <c r="G16" s="23"/>
    </row>
    <row r="17" spans="1:8">
      <c r="A17" t="s">
        <v>37</v>
      </c>
      <c r="C17">
        <v>0.63</v>
      </c>
      <c r="G17" s="23"/>
    </row>
    <row r="18" spans="1:8">
      <c r="A18" s="5" t="s">
        <v>38</v>
      </c>
      <c r="C18">
        <f>(1/$C$17-1)^2*(1-PI()/4*$C13^2/(PI()/4*$C8^2))*998/2*$F12^2</f>
        <v>0.23923675969165062</v>
      </c>
      <c r="G18" s="23"/>
      <c r="H18">
        <f>(1/$C$17-1)^2*(1-PI()/4*$C$13^2/(PI()/4*$C$8^2))*998/2*($C$3/60*21.22/$C$13^2)^2</f>
        <v>0.23923675969165062</v>
      </c>
    </row>
    <row r="19" spans="1:8">
      <c r="G19" s="23"/>
    </row>
    <row r="20" spans="1:8">
      <c r="A20" t="s">
        <v>39</v>
      </c>
      <c r="G20" s="23"/>
    </row>
    <row r="21" spans="1:8">
      <c r="A21" s="5" t="s">
        <v>30</v>
      </c>
      <c r="B21" s="5"/>
      <c r="C21" s="18">
        <f>'Druckverlust der K - BeKa Matte'!$G$17/1000</f>
        <v>1.2</v>
      </c>
      <c r="D21" s="19"/>
      <c r="E21" s="10" t="s">
        <v>12</v>
      </c>
      <c r="F21" s="20">
        <f>C3/60*21.22/C22^2</f>
        <v>6.6312499999999996E-2</v>
      </c>
      <c r="G21" s="21">
        <f>0.3164*F22^-0.25</f>
        <v>6.5927275383987877E-2</v>
      </c>
    </row>
    <row r="22" spans="1:8">
      <c r="A22" s="7" t="s">
        <v>34</v>
      </c>
      <c r="B22" s="7"/>
      <c r="C22" s="16">
        <v>8</v>
      </c>
      <c r="D22" s="19"/>
      <c r="E22" s="10" t="s">
        <v>13</v>
      </c>
      <c r="F22" s="20">
        <f>F21*C22*10^3</f>
        <v>530.5</v>
      </c>
      <c r="G22" s="21">
        <f>64/F22</f>
        <v>0.12064090480678605</v>
      </c>
    </row>
    <row r="23" spans="1:8">
      <c r="A23" s="5" t="s">
        <v>40</v>
      </c>
      <c r="B23" s="5"/>
      <c r="C23" s="14">
        <f>F23*C21*998.4*$F21^2/(C22*10^-3*2)</f>
        <v>39.723839999999996</v>
      </c>
      <c r="D23" s="15"/>
      <c r="E23" s="12" t="s">
        <v>14</v>
      </c>
      <c r="F23" s="11">
        <f>IF(F22&gt;2300,G21,G22)</f>
        <v>0.12064090480678605</v>
      </c>
      <c r="G23" s="11"/>
      <c r="H23" s="14">
        <f>IF($C$3/60*21.22/$C$22^2*$C$22*10^3&gt;2300,0.3164*($C$3/60*21.22/$C$22^2*$C$22*10^3)^-0.25,64/($C$3/60*21.22/$C$22^2*$C$22*10^3))*C21*998.4*($C$3/60*21.22/$C$22^2)^2/($C$22*10^-3*2)</f>
        <v>39.723839999999996</v>
      </c>
    </row>
    <row r="25" spans="1:8">
      <c r="A25" t="s">
        <v>41</v>
      </c>
    </row>
    <row r="26" spans="1:8">
      <c r="A26" s="5" t="s">
        <v>42</v>
      </c>
      <c r="C26">
        <f>(1-(PI()/4*$C13^2)/(PI()/4*$C22^2))^2*998/2*$F21^2</f>
        <v>0.25342527283734084</v>
      </c>
      <c r="H26">
        <f>(1-(PI()/4*$C$13^2)/(PI()/4*$C$22^2))^2*998/2*(($C$3/60*21.22/$C$22^2)^2)</f>
        <v>0.25342527283734084</v>
      </c>
    </row>
    <row r="28" spans="1:8">
      <c r="A28" t="s">
        <v>43</v>
      </c>
    </row>
    <row r="29" spans="1:8">
      <c r="A29" s="5" t="s">
        <v>30</v>
      </c>
      <c r="B29" s="5"/>
      <c r="C29" s="18">
        <v>0.02</v>
      </c>
      <c r="D29" s="19"/>
      <c r="E29" s="10" t="s">
        <v>12</v>
      </c>
      <c r="F29" s="20">
        <f>C3/60*21.22/C30^2</f>
        <v>0.10044970414201183</v>
      </c>
      <c r="G29" s="21">
        <f>0.3164*F30^-0.25</f>
        <v>6.2592308627709273E-2</v>
      </c>
    </row>
    <row r="30" spans="1:8">
      <c r="A30" s="7" t="s">
        <v>34</v>
      </c>
      <c r="B30" s="7"/>
      <c r="C30" s="16">
        <v>6.5</v>
      </c>
      <c r="D30" s="19"/>
      <c r="E30" s="10" t="s">
        <v>13</v>
      </c>
      <c r="F30" s="20">
        <f>F29*C30*10^3</f>
        <v>652.92307692307691</v>
      </c>
      <c r="G30" s="21">
        <f>64/F30</f>
        <v>9.8020735155513669E-2</v>
      </c>
    </row>
    <row r="31" spans="1:8">
      <c r="A31" s="5" t="s">
        <v>44</v>
      </c>
      <c r="B31" s="5"/>
      <c r="C31" s="14">
        <f>F31*C29*998.4*F29^2/(C30*10^-3*2)</f>
        <v>1.5191704178425123</v>
      </c>
      <c r="D31" s="15"/>
      <c r="E31" s="12" t="s">
        <v>14</v>
      </c>
      <c r="F31" s="11">
        <f>IF(F30&gt;2300,G29,G30)</f>
        <v>9.8020735155513669E-2</v>
      </c>
      <c r="G31" s="11"/>
      <c r="H31" s="14">
        <f>IF($C$3/60*21.22/$C$30^2*$C$30*10^3&gt;2300,0.3164*($C$3/60*21.22/$C$30^2*$C$30*10^3)^-0.25,64/($C$3/60*21.22/$C$30^2*$C$30*10^3))*$C$29*998.4*($C$3/60*21.22/$C$30^2)^2/($C$30*10^-3*2)</f>
        <v>1.5191704178425123</v>
      </c>
    </row>
    <row r="32" spans="1:8">
      <c r="A32" s="5"/>
      <c r="B32" s="5"/>
      <c r="C32" s="22"/>
      <c r="D32" s="15"/>
      <c r="E32" s="12"/>
      <c r="F32" s="11"/>
      <c r="G32" s="11"/>
    </row>
    <row r="33" spans="1:8">
      <c r="A33" t="s">
        <v>45</v>
      </c>
      <c r="D33" s="15"/>
      <c r="E33" s="12"/>
      <c r="F33" s="11"/>
      <c r="G33" s="11"/>
    </row>
    <row r="34" spans="1:8">
      <c r="A34" t="s">
        <v>37</v>
      </c>
      <c r="C34">
        <v>0.63</v>
      </c>
      <c r="D34" s="15"/>
      <c r="E34" s="12"/>
      <c r="F34" s="11"/>
      <c r="G34" s="11"/>
    </row>
    <row r="35" spans="1:8">
      <c r="A35" s="5" t="s">
        <v>46</v>
      </c>
      <c r="C35">
        <f>(1/C34-1)^2*(1-PI()/4*C30^2/(PI()/4*C22^2))*998/2*F29^2</f>
        <v>0.59020040889207614</v>
      </c>
      <c r="D35" s="15"/>
      <c r="E35" s="12"/>
      <c r="F35" s="11"/>
      <c r="G35" s="11"/>
      <c r="H35">
        <f>(1/$C$34-1)^2*(1-PI()/4*$C$30^2/(PI()/4*$C$22^2))*998/2*($C$3/60*21.22/$C$30^2)^2</f>
        <v>0.59020040889207614</v>
      </c>
    </row>
    <row r="36" spans="1:8">
      <c r="A36" s="5"/>
      <c r="B36" s="5"/>
      <c r="C36" s="22"/>
      <c r="D36" s="15"/>
      <c r="E36" s="12"/>
      <c r="F36" s="11"/>
      <c r="G36" s="11"/>
    </row>
    <row r="37" spans="1:8">
      <c r="A37" t="s">
        <v>47</v>
      </c>
    </row>
    <row r="38" spans="1:8">
      <c r="A38" s="5" t="s">
        <v>30</v>
      </c>
      <c r="B38" s="5"/>
      <c r="C38" s="18">
        <v>2.5000000000000001E-2</v>
      </c>
      <c r="D38" s="19"/>
      <c r="E38" s="10" t="s">
        <v>12</v>
      </c>
      <c r="F38" s="20">
        <f>C3/60*21.22/C39^2</f>
        <v>8.6612244897959184E-2</v>
      </c>
      <c r="G38" s="21">
        <f>0.3164*F39^-0.25</f>
        <v>6.3762764932131955E-2</v>
      </c>
    </row>
    <row r="39" spans="1:8">
      <c r="A39" s="7" t="s">
        <v>34</v>
      </c>
      <c r="B39" s="7"/>
      <c r="C39" s="16">
        <v>7</v>
      </c>
      <c r="D39" s="19"/>
      <c r="E39" s="10" t="s">
        <v>13</v>
      </c>
      <c r="F39" s="20">
        <f>F38*C39*10^3</f>
        <v>606.28571428571433</v>
      </c>
      <c r="G39" s="21">
        <f>64/F39</f>
        <v>0.10556079170593778</v>
      </c>
    </row>
    <row r="40" spans="1:8">
      <c r="A40" s="5" t="s">
        <v>48</v>
      </c>
      <c r="B40" s="5"/>
      <c r="C40" s="14">
        <f>F40*C38*998.4*$F$7^2/(C39*10^-3*2)</f>
        <v>1.4118149437734275</v>
      </c>
      <c r="D40" s="15"/>
      <c r="E40" s="12" t="s">
        <v>14</v>
      </c>
      <c r="F40" s="11">
        <f>IF(F39&gt;2300,G38,G39)</f>
        <v>0.10556079170593778</v>
      </c>
      <c r="G40" s="11"/>
      <c r="H40" s="14">
        <f>IF($C$3/60*21.22/$C$39^2*$C$39*10^3&gt;2300,0.3164*($C$3/60*21.22/$C$39^2*$C$39*10^3)^-0.25,64/($C$3/60*21.22/$C$39^2*$C$39*10^3))*$C$38*998.4*($C$3/60*21.22/$C$39^2)^2/($C$39*10^-3*2)</f>
        <v>1.4118149437734275</v>
      </c>
    </row>
    <row r="41" spans="1:8">
      <c r="A41" s="5"/>
      <c r="B41" s="5"/>
      <c r="C41" s="22"/>
      <c r="D41" s="15"/>
      <c r="E41" s="12"/>
      <c r="F41" s="11"/>
      <c r="G41" s="11"/>
    </row>
    <row r="42" spans="1:8">
      <c r="A42" t="s">
        <v>49</v>
      </c>
      <c r="C42" s="22"/>
      <c r="D42" s="15"/>
      <c r="E42" s="12"/>
      <c r="F42" s="11"/>
      <c r="G42" s="11"/>
    </row>
    <row r="43" spans="1:8">
      <c r="A43" s="5" t="s">
        <v>50</v>
      </c>
      <c r="C43">
        <f>(1-(PI()/4*C30^2)/(PI()/4*C39^2))^2*998/2*F38^2</f>
        <v>7.1035349510069692E-2</v>
      </c>
      <c r="D43" s="15"/>
      <c r="E43" s="12"/>
      <c r="F43" s="11"/>
      <c r="G43" s="11"/>
      <c r="H43">
        <f>(1-(PI()/4*$C$30^2)/(PI()/4*$C$39^2))^2*998/2*(($C$3/60*21.22/$C$39^2)^2)</f>
        <v>7.1035349510069692E-2</v>
      </c>
    </row>
    <row r="44" spans="1:8">
      <c r="A44" s="5"/>
      <c r="B44" s="5"/>
      <c r="C44" s="22"/>
      <c r="D44" s="15"/>
      <c r="E44" s="12"/>
      <c r="F44" s="11"/>
      <c r="G44" s="11"/>
    </row>
    <row r="45" spans="1:8">
      <c r="A45" s="3"/>
      <c r="B45" s="3"/>
      <c r="C45" s="24"/>
      <c r="D45" s="24"/>
      <c r="E45" s="24"/>
      <c r="F45" s="24"/>
      <c r="G45" s="24"/>
    </row>
    <row r="46" spans="1:8">
      <c r="A46" s="3"/>
      <c r="B46" s="3"/>
      <c r="C46" s="24"/>
      <c r="D46" s="24"/>
      <c r="E46" s="24"/>
      <c r="F46" s="24"/>
      <c r="G46" s="24"/>
    </row>
    <row r="47" spans="1:8" ht="18">
      <c r="C47" s="25"/>
    </row>
  </sheetData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workbookViewId="0">
      <selection activeCell="C21" sqref="C21"/>
    </sheetView>
  </sheetViews>
  <sheetFormatPr defaultColWidth="11.42578125" defaultRowHeight="12.75"/>
  <cols>
    <col min="1" max="1" width="12.42578125" customWidth="1"/>
    <col min="2" max="2" width="7.7109375" customWidth="1"/>
    <col min="8" max="8" width="27.28515625" customWidth="1"/>
  </cols>
  <sheetData>
    <row r="1" spans="1:16">
      <c r="A1" t="s">
        <v>26</v>
      </c>
    </row>
    <row r="3" spans="1:16">
      <c r="A3" s="5" t="s">
        <v>27</v>
      </c>
      <c r="B3" s="5"/>
      <c r="C3" s="16">
        <f>'Reihenschaltung mit Schläuchen'!$G$15</f>
        <v>142.91200000000001</v>
      </c>
    </row>
    <row r="4" spans="1:16">
      <c r="A4" t="s">
        <v>28</v>
      </c>
      <c r="C4" s="17">
        <f>C43+C40+C35+C31+C26+C23+C18+C14+C9</f>
        <v>856.35659624781329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>
      <c r="A6" t="s">
        <v>29</v>
      </c>
      <c r="H6">
        <f>SUM(H9:H43)</f>
        <v>856.35659624781329</v>
      </c>
    </row>
    <row r="7" spans="1:16">
      <c r="A7" s="5" t="s">
        <v>30</v>
      </c>
      <c r="B7" s="5"/>
      <c r="C7" s="18">
        <v>2.5000000000000001E-2</v>
      </c>
      <c r="D7" s="19"/>
      <c r="E7" s="10" t="s">
        <v>12</v>
      </c>
      <c r="F7" s="20">
        <f>C3/60*21.22/C8^2</f>
        <v>1.0314940952380953</v>
      </c>
      <c r="G7" s="21">
        <f>0.3164*F8^-0.25</f>
        <v>3.4323793324544889E-2</v>
      </c>
    </row>
    <row r="8" spans="1:16">
      <c r="A8" s="7" t="s">
        <v>31</v>
      </c>
      <c r="B8" s="7"/>
      <c r="C8" s="16">
        <v>7</v>
      </c>
      <c r="D8" s="19"/>
      <c r="E8" s="10" t="s">
        <v>13</v>
      </c>
      <c r="F8" s="20">
        <f>F7*C8*10^3</f>
        <v>7220.4586666666673</v>
      </c>
      <c r="G8" s="21">
        <f>64/F8</f>
        <v>8.8637028414076738E-3</v>
      </c>
    </row>
    <row r="9" spans="1:16">
      <c r="A9" s="5" t="s">
        <v>32</v>
      </c>
      <c r="B9" s="5"/>
      <c r="C9" s="14">
        <f>$F9*$C$7*998.4*$F$7^2/($C$8*10^-3*2)</f>
        <v>65.109643289021079</v>
      </c>
      <c r="D9" s="15"/>
      <c r="E9" s="12" t="s">
        <v>14</v>
      </c>
      <c r="F9" s="11">
        <f>IF(F8&gt;2300,G7,G8)</f>
        <v>3.4323793324544889E-2</v>
      </c>
      <c r="G9" s="21"/>
      <c r="H9" s="14">
        <f>IF($C$3/60*21.22/$C$8^2*$C$8*10^3&gt;2300,0.3164*($C$3/60*21.22/$C$8^2*$C$8*10^3)^-0.25,64/($C$3/60*21.22/$C$8^2*$C$8*10^3))*$C$7*998.4*($C$3/60*21.22/$C$8^2)^2/($C$8*10^-3*2)</f>
        <v>65.109643289021079</v>
      </c>
    </row>
    <row r="10" spans="1:16">
      <c r="A10" s="5"/>
      <c r="B10" s="5"/>
      <c r="C10" s="22"/>
      <c r="D10" s="15"/>
      <c r="E10" s="12"/>
      <c r="F10" s="11"/>
      <c r="G10" s="21"/>
    </row>
    <row r="11" spans="1:16">
      <c r="A11" t="s">
        <v>33</v>
      </c>
      <c r="G11" s="23"/>
    </row>
    <row r="12" spans="1:16">
      <c r="A12" s="5" t="s">
        <v>30</v>
      </c>
      <c r="B12" s="5"/>
      <c r="C12" s="18">
        <v>0.02</v>
      </c>
      <c r="D12" s="19"/>
      <c r="E12" s="10" t="s">
        <v>12</v>
      </c>
      <c r="F12" s="20">
        <f>C3/60*21.22/C13^2</f>
        <v>1.196289009861933</v>
      </c>
      <c r="G12" s="21">
        <f>0.3164*F13^-0.25</f>
        <v>3.3693731244721713E-2</v>
      </c>
    </row>
    <row r="13" spans="1:16">
      <c r="A13" s="7" t="s">
        <v>34</v>
      </c>
      <c r="B13" s="7"/>
      <c r="C13" s="16">
        <v>6.5</v>
      </c>
      <c r="D13" s="19"/>
      <c r="E13" s="10" t="s">
        <v>13</v>
      </c>
      <c r="F13" s="20">
        <f>F12*C13*10^3</f>
        <v>7775.8785641025643</v>
      </c>
      <c r="G13" s="21">
        <f>64/F13</f>
        <v>8.2305812098785545E-3</v>
      </c>
    </row>
    <row r="14" spans="1:16">
      <c r="A14" s="5" t="s">
        <v>35</v>
      </c>
      <c r="B14" s="5"/>
      <c r="C14" s="14">
        <f>F14*C12*998.4*F12^2/(C13*10^-3*2)</f>
        <v>74.064918456402779</v>
      </c>
      <c r="D14" s="15"/>
      <c r="E14" s="12" t="s">
        <v>14</v>
      </c>
      <c r="F14" s="11">
        <f>IF(F13&gt;2300,G12,G13)</f>
        <v>3.3693731244721713E-2</v>
      </c>
      <c r="G14" s="21"/>
      <c r="H14" s="14">
        <f>IF($C$3/60*21.22/$C$13^2*$C$13*10^3&gt;2300,0.3164*($C$3/60*21.22/$C$13^2*$C$13*10^3)^-0.25,64/($C$3/60*21.22/$C$13^2*$C$13*10^3))*$C$12*998.4*($C$3/60*21.22/$C$13^2)^2/($C$13*10^-3*2)</f>
        <v>74.064918456402779</v>
      </c>
    </row>
    <row r="15" spans="1:16">
      <c r="C15" s="22"/>
      <c r="G15" s="23"/>
    </row>
    <row r="16" spans="1:16">
      <c r="A16" t="s">
        <v>36</v>
      </c>
      <c r="G16" s="23"/>
    </row>
    <row r="17" spans="1:8">
      <c r="A17" t="s">
        <v>37</v>
      </c>
      <c r="C17">
        <v>0.63</v>
      </c>
      <c r="G17" s="23"/>
    </row>
    <row r="18" spans="1:8">
      <c r="A18" s="5" t="s">
        <v>38</v>
      </c>
      <c r="C18">
        <f>(1/$C$17-1)^2*(1-PI()/4*$C13^2/(PI()/4*$C8^2))*998/2*$F12^2</f>
        <v>33.93148083900077</v>
      </c>
      <c r="G18" s="23"/>
      <c r="H18">
        <f>(1/$C$17-1)^2*(1-PI()/4*$C$13^2/(PI()/4*$C$8^2))*998/2*($C$3/60*21.22/$C$13^2)^2</f>
        <v>33.93148083900077</v>
      </c>
    </row>
    <row r="19" spans="1:8">
      <c r="G19" s="23"/>
    </row>
    <row r="20" spans="1:8">
      <c r="A20" t="s">
        <v>39</v>
      </c>
      <c r="G20" s="23"/>
    </row>
    <row r="21" spans="1:8">
      <c r="A21" s="5" t="s">
        <v>30</v>
      </c>
      <c r="B21" s="5"/>
      <c r="C21" s="18">
        <f>'Reihenschaltung mit Schläuchen'!$G$17/1000</f>
        <v>0.3</v>
      </c>
      <c r="D21" s="19"/>
      <c r="E21" s="10" t="s">
        <v>12</v>
      </c>
      <c r="F21" s="20">
        <f>C3/60*21.22/C22^2</f>
        <v>0.78973766666666667</v>
      </c>
      <c r="G21" s="21">
        <f>0.3164*F22^-0.25</f>
        <v>3.5488959381528108E-2</v>
      </c>
    </row>
    <row r="22" spans="1:8">
      <c r="A22" s="7" t="s">
        <v>34</v>
      </c>
      <c r="B22" s="7"/>
      <c r="C22" s="16">
        <v>8</v>
      </c>
      <c r="D22" s="19"/>
      <c r="E22" s="10" t="s">
        <v>13</v>
      </c>
      <c r="F22" s="20">
        <f>F21*C22*10^3</f>
        <v>6317.9013333333332</v>
      </c>
      <c r="G22" s="21">
        <f>64/F22</f>
        <v>1.0129946104465914E-2</v>
      </c>
    </row>
    <row r="23" spans="1:8">
      <c r="A23" s="5" t="s">
        <v>40</v>
      </c>
      <c r="B23" s="5"/>
      <c r="C23" s="14">
        <f>F23*C21*998.4*$F21^2/(C22*10^-3*2)</f>
        <v>414.34758690326316</v>
      </c>
      <c r="D23" s="15"/>
      <c r="E23" s="12" t="s">
        <v>14</v>
      </c>
      <c r="F23" s="11">
        <f>IF(F22&gt;2300,G21,G22)</f>
        <v>3.5488959381528108E-2</v>
      </c>
      <c r="G23" s="11"/>
      <c r="H23" s="14">
        <f>IF($C$3/60*21.22/$C$22^2*$C$22*10^3&gt;2300,0.3164*($C$3/60*21.22/$C$22^2*$C$22*10^3)^-0.25,64/($C$3/60*21.22/$C$22^2*$C$22*10^3))*C21*998.4*($C$3/60*21.22/$C$22^2)^2/($C$22*10^-3*2)</f>
        <v>414.34758690326316</v>
      </c>
    </row>
    <row r="25" spans="1:8">
      <c r="A25" t="s">
        <v>41</v>
      </c>
    </row>
    <row r="26" spans="1:8">
      <c r="A26" s="5" t="s">
        <v>42</v>
      </c>
      <c r="C26">
        <f>(1-(PI()/4*$C13^2)/(PI()/4*$C22^2))^2*998/2*$F21^2</f>
        <v>35.943869163259201</v>
      </c>
      <c r="H26">
        <f>(1-(PI()/4*$C$13^2)/(PI()/4*$C$22^2))^2*998/2*(($C$3/60*21.22/$C$22^2)^2)</f>
        <v>35.943869163259201</v>
      </c>
    </row>
    <row r="28" spans="1:8">
      <c r="A28" t="s">
        <v>43</v>
      </c>
    </row>
    <row r="29" spans="1:8">
      <c r="A29" s="5" t="s">
        <v>30</v>
      </c>
      <c r="B29" s="5"/>
      <c r="C29" s="18">
        <v>0.02</v>
      </c>
      <c r="D29" s="19"/>
      <c r="E29" s="10" t="s">
        <v>12</v>
      </c>
      <c r="F29" s="20">
        <f>C3/60*21.22/C30^2</f>
        <v>1.196289009861933</v>
      </c>
      <c r="G29" s="21">
        <f>0.3164*F30^-0.25</f>
        <v>3.3693731244721713E-2</v>
      </c>
    </row>
    <row r="30" spans="1:8">
      <c r="A30" s="7" t="s">
        <v>34</v>
      </c>
      <c r="B30" s="7"/>
      <c r="C30" s="16">
        <v>6.5</v>
      </c>
      <c r="D30" s="19"/>
      <c r="E30" s="10" t="s">
        <v>13</v>
      </c>
      <c r="F30" s="20">
        <f>F29*C30*10^3</f>
        <v>7775.8785641025643</v>
      </c>
      <c r="G30" s="21">
        <f>64/F30</f>
        <v>8.2305812098785545E-3</v>
      </c>
    </row>
    <row r="31" spans="1:8">
      <c r="A31" s="5" t="s">
        <v>44</v>
      </c>
      <c r="B31" s="5"/>
      <c r="C31" s="14">
        <f>F31*C29*998.4*F29^2/(C30*10^-3*2)</f>
        <v>74.064918456402779</v>
      </c>
      <c r="D31" s="15"/>
      <c r="E31" s="12" t="s">
        <v>14</v>
      </c>
      <c r="F31" s="11">
        <f>IF(F30&gt;2300,G29,G30)</f>
        <v>3.3693731244721713E-2</v>
      </c>
      <c r="G31" s="11"/>
      <c r="H31" s="14">
        <f>IF($C$3/60*21.22/$C$30^2*$C$30*10^3&gt;2300,0.3164*($C$3/60*21.22/$C$30^2*$C$30*10^3)^-0.25,64/($C$3/60*21.22/$C$30^2*$C$30*10^3))*$C$29*998.4*($C$3/60*21.22/$C$30^2)^2/($C$30*10^-3*2)</f>
        <v>74.064918456402779</v>
      </c>
    </row>
    <row r="32" spans="1:8">
      <c r="A32" s="5"/>
      <c r="B32" s="5"/>
      <c r="C32" s="22"/>
      <c r="D32" s="15"/>
      <c r="E32" s="12"/>
      <c r="F32" s="11"/>
      <c r="G32" s="11"/>
    </row>
    <row r="33" spans="1:8">
      <c r="A33" t="s">
        <v>45</v>
      </c>
      <c r="D33" s="15"/>
      <c r="E33" s="12"/>
      <c r="F33" s="11"/>
      <c r="G33" s="11"/>
    </row>
    <row r="34" spans="1:8">
      <c r="A34" t="s">
        <v>37</v>
      </c>
      <c r="C34">
        <v>0.63</v>
      </c>
      <c r="D34" s="15"/>
      <c r="E34" s="12"/>
      <c r="F34" s="11"/>
      <c r="G34" s="11"/>
    </row>
    <row r="35" spans="1:8">
      <c r="A35" s="5" t="s">
        <v>46</v>
      </c>
      <c r="C35">
        <f>(1/C34-1)^2*(1-PI()/4*C30^2/(PI()/4*C22^2))*998/2*F29^2</f>
        <v>83.709434500382187</v>
      </c>
      <c r="D35" s="15"/>
      <c r="E35" s="12"/>
      <c r="F35" s="11"/>
      <c r="G35" s="11"/>
      <c r="H35">
        <f>(1/$C$34-1)^2*(1-PI()/4*$C$30^2/(PI()/4*$C$22^2))*998/2*($C$3/60*21.22/$C$30^2)^2</f>
        <v>83.709434500382187</v>
      </c>
    </row>
    <row r="36" spans="1:8">
      <c r="A36" s="5"/>
      <c r="B36" s="5"/>
      <c r="C36" s="22"/>
      <c r="D36" s="15"/>
      <c r="E36" s="12"/>
      <c r="F36" s="11"/>
      <c r="G36" s="11"/>
    </row>
    <row r="37" spans="1:8">
      <c r="A37" t="s">
        <v>47</v>
      </c>
    </row>
    <row r="38" spans="1:8">
      <c r="A38" s="5" t="s">
        <v>30</v>
      </c>
      <c r="B38" s="5"/>
      <c r="C38" s="18">
        <v>2.5000000000000001E-2</v>
      </c>
      <c r="D38" s="19"/>
      <c r="E38" s="10" t="s">
        <v>12</v>
      </c>
      <c r="F38" s="20">
        <f>C3/60*21.22/C39^2</f>
        <v>1.0314940952380953</v>
      </c>
      <c r="G38" s="21">
        <f>0.3164*F39^-0.25</f>
        <v>3.4323793324544889E-2</v>
      </c>
    </row>
    <row r="39" spans="1:8">
      <c r="A39" s="7" t="s">
        <v>34</v>
      </c>
      <c r="B39" s="7"/>
      <c r="C39" s="16">
        <v>7</v>
      </c>
      <c r="D39" s="19"/>
      <c r="E39" s="10" t="s">
        <v>13</v>
      </c>
      <c r="F39" s="20">
        <f>F38*C39*10^3</f>
        <v>7220.4586666666673</v>
      </c>
      <c r="G39" s="21">
        <f>64/F39</f>
        <v>8.8637028414076738E-3</v>
      </c>
    </row>
    <row r="40" spans="1:8">
      <c r="A40" s="5" t="s">
        <v>48</v>
      </c>
      <c r="B40" s="5"/>
      <c r="C40" s="14">
        <f>F40*C38*998.4*$F$7^2/(C39*10^-3*2)</f>
        <v>65.109643289021079</v>
      </c>
      <c r="D40" s="15"/>
      <c r="E40" s="12" t="s">
        <v>14</v>
      </c>
      <c r="F40" s="11">
        <f>IF(F39&gt;2300,G38,G39)</f>
        <v>3.4323793324544889E-2</v>
      </c>
      <c r="G40" s="11"/>
      <c r="H40" s="14">
        <f>IF($C$3/60*21.22/$C$39^2*$C$39*10^3&gt;2300,0.3164*($C$3/60*21.22/$C$39^2*$C$39*10^3)^-0.25,64/($C$3/60*21.22/$C$39^2*$C$39*10^3))*$C$38*998.4*($C$3/60*21.22/$C$39^2)^2/($C$39*10^-3*2)</f>
        <v>65.109643289021079</v>
      </c>
    </row>
    <row r="41" spans="1:8">
      <c r="A41" s="5"/>
      <c r="B41" s="5"/>
      <c r="C41" s="22"/>
      <c r="D41" s="15"/>
      <c r="E41" s="12"/>
      <c r="F41" s="11"/>
      <c r="G41" s="11"/>
    </row>
    <row r="42" spans="1:8">
      <c r="A42" t="s">
        <v>49</v>
      </c>
      <c r="C42" s="22"/>
      <c r="D42" s="15"/>
      <c r="E42" s="12"/>
      <c r="F42" s="11"/>
      <c r="G42" s="11"/>
    </row>
    <row r="43" spans="1:8">
      <c r="A43" s="5" t="s">
        <v>50</v>
      </c>
      <c r="C43">
        <f>(1-(PI()/4*C30^2)/(PI()/4*C39^2))^2*998/2*F38^2</f>
        <v>10.075101351060365</v>
      </c>
      <c r="D43" s="15"/>
      <c r="E43" s="12"/>
      <c r="F43" s="11"/>
      <c r="G43" s="11"/>
      <c r="H43">
        <f>(1-(PI()/4*$C$30^2)/(PI()/4*$C$39^2))^2*998/2*(($C$3/60*21.22/$C$39^2)^2)</f>
        <v>10.075101351060365</v>
      </c>
    </row>
    <row r="44" spans="1:8">
      <c r="A44" s="5"/>
      <c r="B44" s="5"/>
      <c r="C44" s="22"/>
      <c r="D44" s="15"/>
      <c r="E44" s="12"/>
      <c r="F44" s="11"/>
      <c r="G44" s="11"/>
    </row>
    <row r="45" spans="1:8">
      <c r="A45" s="3"/>
      <c r="B45" s="3"/>
      <c r="C45" s="24"/>
      <c r="D45" s="24"/>
      <c r="E45" s="24"/>
      <c r="F45" s="24"/>
      <c r="G45" s="24"/>
    </row>
    <row r="46" spans="1:8">
      <c r="A46" s="3"/>
      <c r="B46" s="3"/>
      <c r="C46" s="24"/>
      <c r="D46" s="24"/>
      <c r="E46" s="24"/>
      <c r="F46" s="24"/>
      <c r="G46" s="24"/>
    </row>
    <row r="47" spans="1:8" ht="18">
      <c r="C47" s="25"/>
    </row>
  </sheetData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workbookViewId="0">
      <selection activeCell="C3" sqref="C3"/>
    </sheetView>
  </sheetViews>
  <sheetFormatPr defaultColWidth="11.42578125" defaultRowHeight="12.75"/>
  <sheetData>
    <row r="1" spans="1:27">
      <c r="A1" t="s">
        <v>51</v>
      </c>
    </row>
    <row r="3" spans="1:27">
      <c r="A3" s="5" t="s">
        <v>27</v>
      </c>
      <c r="B3" s="5"/>
      <c r="C3" s="16">
        <f>'Druckverlust der K - BeKa Matte'!$G$14</f>
        <v>12</v>
      </c>
    </row>
    <row r="4" spans="1:27">
      <c r="A4" t="s">
        <v>28</v>
      </c>
      <c r="C4" s="17">
        <f>C15+C18+C23+C26+C30+C34+C44+C49+C53+C58+C63+C68</f>
        <v>4.8515859981527409</v>
      </c>
    </row>
    <row r="5" spans="1:27">
      <c r="A5" t="s">
        <v>52</v>
      </c>
      <c r="C5" s="26">
        <f>C15+C18+C23+C26+C30+C34</f>
        <v>2.5085785153531326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>
      <c r="C6" s="26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27">
      <c r="A7" t="s">
        <v>53</v>
      </c>
      <c r="C7" s="26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27">
      <c r="D8" s="3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27">
      <c r="A9" t="s">
        <v>29</v>
      </c>
    </row>
    <row r="10" spans="1:27">
      <c r="A10" s="7" t="s">
        <v>31</v>
      </c>
      <c r="B10" s="7"/>
      <c r="C10" s="16">
        <v>7</v>
      </c>
      <c r="D10" s="19"/>
      <c r="E10" s="10" t="s">
        <v>12</v>
      </c>
      <c r="F10" s="20">
        <f>C3/60*21.22/C10^2</f>
        <v>8.6612244897959184E-2</v>
      </c>
      <c r="G10" s="21"/>
    </row>
    <row r="11" spans="1:27">
      <c r="D11" s="19"/>
      <c r="E11" s="10"/>
      <c r="F11" s="20"/>
      <c r="G11" s="21"/>
    </row>
    <row r="12" spans="1:27">
      <c r="A12" t="s">
        <v>54</v>
      </c>
      <c r="G12" s="23"/>
    </row>
    <row r="13" spans="1:27">
      <c r="A13" s="5" t="s">
        <v>30</v>
      </c>
      <c r="B13" s="5"/>
      <c r="C13" s="18">
        <v>6.0000000000000001E-3</v>
      </c>
      <c r="D13" s="19"/>
      <c r="E13" s="10" t="s">
        <v>12</v>
      </c>
      <c r="F13" s="20">
        <f>C3/60*21.22/$C$14^2</f>
        <v>5.2395061728395059E-2</v>
      </c>
      <c r="G13" s="21">
        <f>0.3164*F14^-0.25</f>
        <v>6.7897417861627354E-2</v>
      </c>
    </row>
    <row r="14" spans="1:27">
      <c r="A14" s="7" t="s">
        <v>34</v>
      </c>
      <c r="B14" s="7"/>
      <c r="C14" s="16">
        <v>9</v>
      </c>
      <c r="D14" s="19"/>
      <c r="E14" s="10" t="s">
        <v>13</v>
      </c>
      <c r="F14" s="20">
        <f>F13*C14*10^3</f>
        <v>471.55555555555549</v>
      </c>
      <c r="G14" s="21">
        <f>64/F14</f>
        <v>0.13572101790763433</v>
      </c>
    </row>
    <row r="15" spans="1:27">
      <c r="A15" s="5" t="s">
        <v>35</v>
      </c>
      <c r="B15" s="5"/>
      <c r="C15" s="14">
        <f>F15*C13*998.4*F13^2/(C14*10^-3*2)</f>
        <v>0.12399698875171469</v>
      </c>
      <c r="D15" s="15"/>
      <c r="E15" s="12" t="s">
        <v>14</v>
      </c>
      <c r="F15" s="11">
        <f>IF(F14&gt;2300,G13,G14)</f>
        <v>0.13572101790763433</v>
      </c>
      <c r="G15" s="21"/>
      <c r="H15" s="14">
        <f>IF(C3/60*21.22/$C$14^2*$C$14*10^3&gt;2300,0.3164*(C3/60*21.22/$C$14^2*$C$14*10^3)^-0.25,64/(C3/60*21.22/$C$14^2*$C$14*10^3))*$C$13*998.4*(C3/60*21.22/$C$14^2)^2/($C$14*10^-3*2)</f>
        <v>0.12399698875171469</v>
      </c>
    </row>
    <row r="16" spans="1:27">
      <c r="C16" s="22"/>
      <c r="G16" s="23"/>
    </row>
    <row r="17" spans="1:8">
      <c r="A17" t="s">
        <v>41</v>
      </c>
    </row>
    <row r="18" spans="1:8">
      <c r="A18" s="5" t="s">
        <v>38</v>
      </c>
      <c r="C18" s="27">
        <f>(1-(PI()/4*$C10^2)/(PI()/4*$C14^2))^2*998/2*$F10^2</f>
        <v>0.5842369964056916</v>
      </c>
      <c r="H18">
        <f>(1-(PI()/4*$C$10^2)/(PI()/4*$C$14^2))^2*998/2*(C3/60*21.22/$C$10^2)^2</f>
        <v>0.5842369964056916</v>
      </c>
    </row>
    <row r="20" spans="1:8">
      <c r="A20" t="s">
        <v>55</v>
      </c>
      <c r="G20" s="23"/>
    </row>
    <row r="21" spans="1:8">
      <c r="A21" s="5" t="s">
        <v>30</v>
      </c>
      <c r="B21" s="5"/>
      <c r="C21" s="18">
        <v>1.0999999999999999E-2</v>
      </c>
      <c r="D21" s="19"/>
      <c r="E21" s="10" t="s">
        <v>12</v>
      </c>
      <c r="F21" s="20">
        <f>C3/60*21.22/$C$22^2</f>
        <v>2.7601456815816851E-2</v>
      </c>
      <c r="G21" s="21">
        <f>0.3164*F22^-0.25</f>
        <v>7.3561072466764882E-2</v>
      </c>
    </row>
    <row r="22" spans="1:8">
      <c r="A22" s="7" t="s">
        <v>34</v>
      </c>
      <c r="B22" s="7"/>
      <c r="C22" s="16">
        <v>12.4</v>
      </c>
      <c r="D22" s="19"/>
      <c r="E22" s="10" t="s">
        <v>13</v>
      </c>
      <c r="F22" s="20">
        <f>F21*C22*10^3</f>
        <v>342.25806451612897</v>
      </c>
      <c r="G22" s="21">
        <f>64/F22</f>
        <v>0.1869934024505184</v>
      </c>
    </row>
    <row r="23" spans="1:8">
      <c r="A23" s="5" t="s">
        <v>35</v>
      </c>
      <c r="B23" s="5"/>
      <c r="C23" s="28">
        <f>F23*C21*998.4*F21^2/(C22*10^-3*2)</f>
        <v>6.3086418175655967E-2</v>
      </c>
      <c r="D23" s="15"/>
      <c r="E23" s="12" t="s">
        <v>14</v>
      </c>
      <c r="F23" s="11">
        <f>IF(F22&gt;2300,G21,G22)</f>
        <v>0.1869934024505184</v>
      </c>
      <c r="G23" s="21"/>
      <c r="H23" s="14">
        <f>IF(C3/60*21.22/$C$22^2*$C$22*10^3&gt;2300,0.3164*(C3/60*21.22/$C$22^2*$C$22*10^3)^-0.25,64/(C3/60*21.22/$C$22^2*$C$22*10^3))*$C$21*998.4*(C3/60*21.22/$C$22^2)^2/($C$22*10^-3*2)</f>
        <v>6.3086418175655967E-2</v>
      </c>
    </row>
    <row r="25" spans="1:8">
      <c r="A25" t="s">
        <v>49</v>
      </c>
      <c r="B25" s="5"/>
      <c r="C25" s="22"/>
      <c r="D25" s="15"/>
      <c r="E25" s="12"/>
      <c r="F25" s="11"/>
      <c r="G25" s="11"/>
    </row>
    <row r="26" spans="1:8">
      <c r="A26" s="5" t="s">
        <v>40</v>
      </c>
      <c r="C26" s="27">
        <f>(1-(PI()/4*C14^2)/(PI()/4*C22^2))^2*998/2*F13^2</f>
        <v>0.30674669943595007</v>
      </c>
      <c r="D26" s="15"/>
      <c r="E26" s="12"/>
      <c r="F26" s="11"/>
      <c r="G26" s="11"/>
      <c r="H26" s="27">
        <f>(1-(PI()/4*$C$14^2)/(PI()/4*$C$22^2))^2*998/2*(C3/60*21.22/$C$14^2)^2</f>
        <v>0.30674669943595007</v>
      </c>
    </row>
    <row r="27" spans="1:8">
      <c r="A27" s="5"/>
      <c r="D27" s="15"/>
      <c r="E27" s="12"/>
      <c r="F27" s="11"/>
      <c r="G27" s="11"/>
    </row>
    <row r="28" spans="1:8">
      <c r="A28" s="5" t="s">
        <v>56</v>
      </c>
      <c r="B28" s="5"/>
      <c r="C28" s="22"/>
      <c r="D28" s="15"/>
      <c r="E28" s="12"/>
      <c r="F28" s="11"/>
      <c r="G28" s="21"/>
      <c r="H28" s="22"/>
    </row>
    <row r="29" spans="1:8">
      <c r="A29" s="5" t="s">
        <v>57</v>
      </c>
      <c r="B29" s="5"/>
      <c r="C29" s="29">
        <v>1</v>
      </c>
      <c r="D29" s="15"/>
      <c r="E29" s="12"/>
      <c r="F29" s="11"/>
      <c r="G29" s="21"/>
      <c r="H29" s="22"/>
    </row>
    <row r="30" spans="1:8">
      <c r="A30" s="5" t="s">
        <v>58</v>
      </c>
      <c r="B30" s="5"/>
      <c r="C30" s="28">
        <f>C29*998/2*F13^2</f>
        <v>1.3698760042676419</v>
      </c>
      <c r="D30" s="15"/>
      <c r="E30" s="12"/>
      <c r="F30" s="11"/>
      <c r="G30" s="21"/>
      <c r="H30" s="28">
        <f>$C$29*998/2*(C3/60*21.22/$C$14^2)^2</f>
        <v>1.3698760042676419</v>
      </c>
    </row>
    <row r="31" spans="1:8">
      <c r="A31" s="5"/>
      <c r="B31" s="5"/>
      <c r="C31" s="22"/>
      <c r="D31" s="15"/>
      <c r="E31" s="12"/>
      <c r="F31" s="11"/>
      <c r="G31" s="21"/>
      <c r="H31" s="22"/>
    </row>
    <row r="32" spans="1:8">
      <c r="A32" t="s">
        <v>59</v>
      </c>
      <c r="B32" s="5"/>
      <c r="C32" s="22"/>
      <c r="D32" s="15"/>
      <c r="E32" s="12"/>
      <c r="F32" s="11"/>
      <c r="G32" s="21"/>
      <c r="H32" s="22"/>
    </row>
    <row r="33" spans="1:8">
      <c r="A33" s="7" t="s">
        <v>60</v>
      </c>
      <c r="C33" s="29">
        <v>16</v>
      </c>
      <c r="D33" s="15"/>
      <c r="E33" s="12"/>
      <c r="F33" s="11"/>
      <c r="G33" s="21"/>
      <c r="H33" s="22"/>
    </row>
    <row r="34" spans="1:8">
      <c r="A34" s="5" t="s">
        <v>40</v>
      </c>
      <c r="C34" s="27">
        <f>(1-(PI()/4*C22^2)/(PI()/4*C33^2))^2*998/2*F21^2</f>
        <v>6.0635408316478442E-2</v>
      </c>
      <c r="D34" s="15"/>
      <c r="E34" s="12"/>
      <c r="F34" s="11"/>
      <c r="G34" s="21"/>
      <c r="H34" s="27">
        <f>(1-(PI()/4*$C$22^2)/(PI()/4*$C$33^2))^2*998/2*(C3/60*21.22/$C$22^2)^2</f>
        <v>6.0635408316478442E-2</v>
      </c>
    </row>
    <row r="35" spans="1:8">
      <c r="A35" s="5"/>
      <c r="B35" s="5"/>
      <c r="C35" s="22"/>
      <c r="D35" s="15"/>
      <c r="E35" s="12"/>
      <c r="F35" s="11"/>
      <c r="G35" s="21"/>
      <c r="H35" s="22"/>
    </row>
    <row r="36" spans="1:8">
      <c r="A36" s="5"/>
      <c r="B36" s="5"/>
      <c r="C36" s="22"/>
      <c r="D36" s="15"/>
      <c r="E36" s="12"/>
      <c r="F36" s="11"/>
      <c r="G36" s="21"/>
      <c r="H36" s="22"/>
    </row>
    <row r="37" spans="1:8">
      <c r="A37" s="5" t="s">
        <v>61</v>
      </c>
      <c r="B37" s="5"/>
      <c r="C37" s="22"/>
      <c r="D37" s="15"/>
      <c r="E37" s="12"/>
      <c r="F37" s="11"/>
      <c r="G37" s="11"/>
    </row>
    <row r="38" spans="1:8">
      <c r="A38" s="5"/>
      <c r="B38" s="5"/>
      <c r="C38" s="22"/>
      <c r="D38" s="15"/>
      <c r="E38" s="12"/>
      <c r="F38" s="11"/>
      <c r="G38" s="11"/>
    </row>
    <row r="39" spans="1:8">
      <c r="A39" s="7" t="s">
        <v>60</v>
      </c>
      <c r="C39" s="29">
        <v>16</v>
      </c>
      <c r="D39" s="15"/>
      <c r="E39" s="10" t="s">
        <v>12</v>
      </c>
      <c r="F39" s="20">
        <f>C3/60*21.22/C39^2</f>
        <v>1.6578124999999999E-2</v>
      </c>
      <c r="G39" s="11"/>
    </row>
    <row r="40" spans="1:8">
      <c r="G40" s="11"/>
    </row>
    <row r="41" spans="1:8">
      <c r="A41" t="s">
        <v>36</v>
      </c>
      <c r="B41" s="5"/>
      <c r="C41" s="22"/>
      <c r="D41" s="15"/>
      <c r="E41" s="12"/>
      <c r="F41" s="11"/>
      <c r="G41" s="11"/>
    </row>
    <row r="42" spans="1:8">
      <c r="A42" s="7" t="s">
        <v>62</v>
      </c>
      <c r="C42" s="29">
        <v>12.4</v>
      </c>
      <c r="D42" s="15"/>
      <c r="E42" s="10" t="s">
        <v>12</v>
      </c>
      <c r="F42" s="20">
        <f>C3/60*21.22/C42^2</f>
        <v>2.7601456815816851E-2</v>
      </c>
      <c r="G42" s="11"/>
    </row>
    <row r="43" spans="1:8">
      <c r="A43" s="30" t="s">
        <v>63</v>
      </c>
      <c r="C43" s="29">
        <v>0.63</v>
      </c>
      <c r="D43" s="15"/>
      <c r="E43" s="12"/>
      <c r="F43" s="11"/>
      <c r="G43" s="11"/>
    </row>
    <row r="44" spans="1:8">
      <c r="A44" s="5" t="s">
        <v>40</v>
      </c>
      <c r="C44" s="27">
        <f>(1/$C$43-1)^2*(1-(PI()/4*$C$42^2/(PI()/4*$C$39^2)))*998/2*$F$42^2</f>
        <v>5.236821610691559E-2</v>
      </c>
      <c r="D44" s="15"/>
      <c r="E44" s="12"/>
      <c r="F44" s="11"/>
      <c r="G44" s="11"/>
    </row>
    <row r="45" spans="1:8">
      <c r="A45" s="5"/>
      <c r="D45" s="15"/>
      <c r="E45" s="12"/>
      <c r="F45" s="11"/>
      <c r="G45" s="11"/>
    </row>
    <row r="46" spans="1:8">
      <c r="A46" t="s">
        <v>55</v>
      </c>
      <c r="G46" s="23"/>
    </row>
    <row r="47" spans="1:8">
      <c r="A47" s="5" t="s">
        <v>30</v>
      </c>
      <c r="B47" s="5"/>
      <c r="C47" s="18">
        <v>1.0999999999999999E-2</v>
      </c>
      <c r="D47" s="19"/>
      <c r="E47" s="10" t="s">
        <v>12</v>
      </c>
      <c r="F47" s="20">
        <f>C3/60*21.22/C42^2</f>
        <v>2.7601456815816851E-2</v>
      </c>
      <c r="G47" s="21">
        <f>0.3164*F42^-0.25</f>
        <v>0.77625332527843971</v>
      </c>
    </row>
    <row r="48" spans="1:8">
      <c r="A48" s="7"/>
      <c r="B48" s="7"/>
      <c r="C48" s="16"/>
      <c r="D48" s="19"/>
      <c r="E48" s="10" t="s">
        <v>13</v>
      </c>
      <c r="F48" s="20">
        <f>F47*C42*10^3</f>
        <v>342.25806451612897</v>
      </c>
      <c r="G48" s="21">
        <f>64/F48</f>
        <v>0.1869934024505184</v>
      </c>
    </row>
    <row r="49" spans="1:8">
      <c r="A49" s="5" t="s">
        <v>35</v>
      </c>
      <c r="B49" s="5"/>
      <c r="C49" s="28">
        <f>F49*C47*998.4*F47^2/(C42*10^-3*2)</f>
        <v>6.3086418175655967E-2</v>
      </c>
      <c r="D49" s="15"/>
      <c r="E49" s="12" t="s">
        <v>14</v>
      </c>
      <c r="F49" s="11">
        <f>IF(F48&gt;2300,G47,G48)</f>
        <v>0.1869934024505184</v>
      </c>
      <c r="G49" s="21"/>
      <c r="H49" s="14">
        <f>IF($C$3/60*21.22/$C$22^2*$C$22*10^3&gt;2300,0.3164*($C$3/60*21.22/$C$22^2*$C$22*10^3)^-0.25,64/($C$3/60*21.22/$C$22^2*$C$22*10^3))*$C$21*998.4*($C$3/60*21.22/$C$22^2)^2/($C$22*10^-3*2)</f>
        <v>6.3086418175655967E-2</v>
      </c>
    </row>
    <row r="50" spans="1:8">
      <c r="A50" s="5"/>
      <c r="B50" s="5"/>
      <c r="C50" s="31"/>
      <c r="D50" s="15"/>
      <c r="E50" s="12"/>
      <c r="F50" s="11"/>
      <c r="G50" s="21"/>
      <c r="H50" s="22"/>
    </row>
    <row r="51" spans="1:8">
      <c r="A51" s="5" t="s">
        <v>56</v>
      </c>
      <c r="B51" s="5"/>
      <c r="C51" s="22"/>
      <c r="D51" s="15"/>
      <c r="E51" s="12"/>
      <c r="F51" s="11"/>
      <c r="G51" s="11"/>
    </row>
    <row r="52" spans="1:8">
      <c r="A52" s="5" t="s">
        <v>57</v>
      </c>
      <c r="B52" s="5"/>
      <c r="C52" s="29">
        <v>1</v>
      </c>
      <c r="D52" s="15"/>
      <c r="E52" s="12"/>
      <c r="F52" s="11"/>
      <c r="G52" s="11"/>
    </row>
    <row r="53" spans="1:8">
      <c r="A53" s="5" t="s">
        <v>58</v>
      </c>
      <c r="B53" s="5"/>
      <c r="C53" s="28">
        <f>C52*998/2*$F$56^2</f>
        <v>1.3698760042676419</v>
      </c>
      <c r="D53" s="15"/>
      <c r="E53" s="12"/>
      <c r="F53" s="11"/>
      <c r="G53" s="11"/>
    </row>
    <row r="54" spans="1:8">
      <c r="A54" s="5"/>
      <c r="B54" s="5"/>
      <c r="C54" s="22"/>
      <c r="D54" s="15"/>
      <c r="E54" s="12"/>
      <c r="F54" s="11"/>
      <c r="G54" s="11"/>
    </row>
    <row r="55" spans="1:8">
      <c r="A55" t="s">
        <v>45</v>
      </c>
    </row>
    <row r="56" spans="1:8">
      <c r="A56" s="7" t="s">
        <v>34</v>
      </c>
      <c r="B56" s="7"/>
      <c r="C56" s="16">
        <v>9</v>
      </c>
      <c r="E56" s="10" t="s">
        <v>12</v>
      </c>
      <c r="F56" s="20">
        <f>C3/60*21.22/C56^2</f>
        <v>5.2395061728395059E-2</v>
      </c>
    </row>
    <row r="57" spans="1:8">
      <c r="A57" t="s">
        <v>37</v>
      </c>
      <c r="C57" s="8">
        <v>0.63</v>
      </c>
    </row>
    <row r="58" spans="1:8">
      <c r="A58" s="5" t="s">
        <v>38</v>
      </c>
      <c r="C58" s="27">
        <f>(1/$C$57-1)^2*(1-(PI()/4*$C$56^2/(PI()/4*$C$42^2)))*998/2*$F$56^2</f>
        <v>0.22359028401847725</v>
      </c>
    </row>
    <row r="59" spans="1:8">
      <c r="A59" s="5"/>
    </row>
    <row r="60" spans="1:8">
      <c r="A60" t="s">
        <v>54</v>
      </c>
      <c r="G60" s="23"/>
    </row>
    <row r="61" spans="1:8">
      <c r="A61" s="5" t="s">
        <v>30</v>
      </c>
      <c r="B61" s="5"/>
      <c r="C61" s="18">
        <v>6.0000000000000001E-3</v>
      </c>
      <c r="D61" s="19"/>
      <c r="G61" s="21">
        <f>0.3164*F62^-0.25</f>
        <v>6.7897417861627354E-2</v>
      </c>
    </row>
    <row r="62" spans="1:8">
      <c r="C62" s="32"/>
      <c r="D62" s="19"/>
      <c r="E62" s="10" t="s">
        <v>13</v>
      </c>
      <c r="F62" s="20">
        <f>F56*C56*10^3</f>
        <v>471.55555555555549</v>
      </c>
      <c r="G62" s="21">
        <f>64/F62</f>
        <v>0.13572101790763433</v>
      </c>
    </row>
    <row r="63" spans="1:8">
      <c r="A63" s="5" t="s">
        <v>35</v>
      </c>
      <c r="B63" s="5"/>
      <c r="C63" s="14">
        <f>F63*C61*998.4*F56^2/(C56*10^-3*2)</f>
        <v>0.12399698875171469</v>
      </c>
      <c r="D63" s="15"/>
      <c r="E63" s="12" t="s">
        <v>14</v>
      </c>
      <c r="F63" s="11">
        <f>IF(F62&gt;2300,G61,G62)</f>
        <v>0.13572101790763433</v>
      </c>
      <c r="G63" s="21"/>
      <c r="H63" s="14">
        <f>IF($C$3/60*21.22/$C$14^2*$C$14*10^3&gt;2300,0.3164*($C$3/60*21.22/$C$14^2*$C$14*10^3)^-0.25,64/($C$3/60*21.22/$C$14^2*$C$14*10^3))*$C$13*998.4*($C$3/60*21.22/$C$14^2)^2/($C$14*10^-3*2)</f>
        <v>0.12399698875171469</v>
      </c>
    </row>
    <row r="65" spans="1:6">
      <c r="A65" t="s">
        <v>64</v>
      </c>
    </row>
    <row r="66" spans="1:6">
      <c r="A66" s="7" t="s">
        <v>34</v>
      </c>
      <c r="B66" s="7"/>
      <c r="C66" s="16">
        <v>7</v>
      </c>
      <c r="E66" s="10" t="s">
        <v>12</v>
      </c>
      <c r="F66" s="20">
        <f>C3/60*21.22/C66^2</f>
        <v>8.6612244897959184E-2</v>
      </c>
    </row>
    <row r="67" spans="1:6">
      <c r="A67" t="s">
        <v>37</v>
      </c>
      <c r="C67" s="8">
        <v>0.63</v>
      </c>
    </row>
    <row r="68" spans="1:6">
      <c r="A68" s="5" t="s">
        <v>38</v>
      </c>
      <c r="C68" s="27">
        <f>(1/$C$67-1)^2*(1-(PI()/4*$C$66^2/(PI()/4*$C$56^2)))*998/2*$F$66^2</f>
        <v>0.51008957147920375</v>
      </c>
    </row>
    <row r="70" spans="1:6">
      <c r="D70" s="33"/>
    </row>
  </sheetData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workbookViewId="0">
      <selection activeCell="B2" sqref="B2:B4"/>
    </sheetView>
  </sheetViews>
  <sheetFormatPr defaultColWidth="11.42578125" defaultRowHeight="12.75"/>
  <sheetData>
    <row r="1" spans="1:27">
      <c r="A1" t="s">
        <v>51</v>
      </c>
    </row>
    <row r="3" spans="1:27">
      <c r="A3" s="5" t="s">
        <v>27</v>
      </c>
      <c r="B3" s="5"/>
      <c r="C3" s="16">
        <f>'Reihenschaltung mit Schläuchen'!$G$15</f>
        <v>142.91200000000001</v>
      </c>
    </row>
    <row r="4" spans="1:27">
      <c r="A4" t="s">
        <v>28</v>
      </c>
      <c r="C4" s="17">
        <f>C15+C18+C23+C26+C30+C34+C44+C49+C53+C58+C63+C68</f>
        <v>666.40403688219044</v>
      </c>
    </row>
    <row r="5" spans="1:27">
      <c r="A5" t="s">
        <v>52</v>
      </c>
      <c r="C5" s="26">
        <f>C15+C18+C23+C26+C30+C34</f>
        <v>335.89368836552399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>
      <c r="C6" s="26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27">
      <c r="A7" t="s">
        <v>53</v>
      </c>
      <c r="C7" s="26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27">
      <c r="D8" s="3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27">
      <c r="A9" t="s">
        <v>29</v>
      </c>
    </row>
    <row r="10" spans="1:27">
      <c r="A10" s="7" t="s">
        <v>31</v>
      </c>
      <c r="B10" s="7"/>
      <c r="C10" s="16">
        <v>7</v>
      </c>
      <c r="D10" s="19"/>
      <c r="E10" s="10" t="s">
        <v>12</v>
      </c>
      <c r="F10" s="20">
        <f>C3/60*21.22/C10^2</f>
        <v>1.0314940952380953</v>
      </c>
      <c r="G10" s="21"/>
    </row>
    <row r="11" spans="1:27">
      <c r="D11" s="19"/>
      <c r="E11" s="10"/>
      <c r="F11" s="20"/>
      <c r="G11" s="21"/>
    </row>
    <row r="12" spans="1:27">
      <c r="A12" t="s">
        <v>54</v>
      </c>
      <c r="G12" s="23"/>
    </row>
    <row r="13" spans="1:27">
      <c r="A13" s="5" t="s">
        <v>30</v>
      </c>
      <c r="B13" s="5"/>
      <c r="C13" s="18">
        <v>6.0000000000000001E-3</v>
      </c>
      <c r="D13" s="19"/>
      <c r="E13" s="10" t="s">
        <v>12</v>
      </c>
      <c r="F13" s="20">
        <f>C3/60*21.22/$C$14^2</f>
        <v>0.62399025514403295</v>
      </c>
      <c r="G13" s="21">
        <f>0.3164*F14^-0.25</f>
        <v>3.6549496252762936E-2</v>
      </c>
    </row>
    <row r="14" spans="1:27">
      <c r="A14" s="7" t="s">
        <v>34</v>
      </c>
      <c r="B14" s="7"/>
      <c r="C14" s="16">
        <v>9</v>
      </c>
      <c r="D14" s="19"/>
      <c r="E14" s="10" t="s">
        <v>13</v>
      </c>
      <c r="F14" s="20">
        <f>F13*C14*10^3</f>
        <v>5615.9122962962965</v>
      </c>
      <c r="G14" s="21">
        <f>64/F14</f>
        <v>1.1396189367524153E-2</v>
      </c>
    </row>
    <row r="15" spans="1:27">
      <c r="A15" s="5" t="s">
        <v>35</v>
      </c>
      <c r="B15" s="5"/>
      <c r="C15" s="14">
        <f>F15*C13*998.4*F13^2/(C14*10^-3*2)</f>
        <v>4.7360941577680578</v>
      </c>
      <c r="D15" s="15"/>
      <c r="E15" s="12" t="s">
        <v>14</v>
      </c>
      <c r="F15" s="11">
        <f>IF(F14&gt;2300,G13,G14)</f>
        <v>3.6549496252762936E-2</v>
      </c>
      <c r="G15" s="21"/>
      <c r="H15" s="14">
        <f>IF(C3/60*21.22/$C$14^2*$C$14*10^3&gt;2300,0.3164*(C3/60*21.22/$C$14^2*$C$14*10^3)^-0.25,64/(C3/60*21.22/$C$14^2*$C$14*10^3))*$C$13*998.4*(C3/60*21.22/$C$14^2)^2/($C$14*10^-3*2)</f>
        <v>4.7360941577680578</v>
      </c>
    </row>
    <row r="16" spans="1:27">
      <c r="C16" s="22"/>
      <c r="G16" s="23"/>
    </row>
    <row r="17" spans="1:8">
      <c r="A17" t="s">
        <v>41</v>
      </c>
    </row>
    <row r="18" spans="1:8">
      <c r="A18" s="5" t="s">
        <v>38</v>
      </c>
      <c r="C18" s="27">
        <f>(1-(PI()/4*$C10^2)/(PI()/4*$C14^2))^2*998/2*$F10^2</f>
        <v>82.86363046601214</v>
      </c>
      <c r="H18">
        <f>(1-(PI()/4*$C$10^2)/(PI()/4*$C$14^2))^2*998/2*(C3/60*21.22/$C$10^2)^2</f>
        <v>82.86363046601214</v>
      </c>
    </row>
    <row r="20" spans="1:8">
      <c r="A20" t="s">
        <v>55</v>
      </c>
      <c r="G20" s="23"/>
    </row>
    <row r="21" spans="1:8">
      <c r="A21" s="5" t="s">
        <v>30</v>
      </c>
      <c r="B21" s="5"/>
      <c r="C21" s="18">
        <v>1.0999999999999999E-2</v>
      </c>
      <c r="D21" s="19"/>
      <c r="E21" s="10" t="s">
        <v>12</v>
      </c>
      <c r="F21" s="20">
        <f>C3/60*21.22/$C$22^2</f>
        <v>0.32871494970516818</v>
      </c>
      <c r="G21" s="21">
        <f>0.3164*F22^-0.25</f>
        <v>3.9598267903980709E-2</v>
      </c>
    </row>
    <row r="22" spans="1:8">
      <c r="A22" s="7" t="s">
        <v>34</v>
      </c>
      <c r="B22" s="7"/>
      <c r="C22" s="16">
        <v>12.4</v>
      </c>
      <c r="D22" s="19"/>
      <c r="E22" s="10" t="s">
        <v>13</v>
      </c>
      <c r="F22" s="20">
        <f>F21*C22*10^3</f>
        <v>4076.0653763440855</v>
      </c>
      <c r="G22" s="21">
        <f>64/F22</f>
        <v>1.5701416461922166E-2</v>
      </c>
    </row>
    <row r="23" spans="1:8">
      <c r="A23" s="5" t="s">
        <v>35</v>
      </c>
      <c r="B23" s="5"/>
      <c r="C23" s="28">
        <f>F23*C21*998.4*F21^2/(C22*10^-3*2)</f>
        <v>1.8947882288137263</v>
      </c>
      <c r="D23" s="15"/>
      <c r="E23" s="12" t="s">
        <v>14</v>
      </c>
      <c r="F23" s="11">
        <f>IF(F22&gt;2300,G21,G22)</f>
        <v>3.9598267903980709E-2</v>
      </c>
      <c r="G23" s="21"/>
      <c r="H23" s="14">
        <f>IF(C3/60*21.22/$C$22^2*$C$22*10^3&gt;2300,0.3164*(C3/60*21.22/$C$22^2*$C$22*10^3)^-0.25,64/(C3/60*21.22/$C$22^2*$C$22*10^3))*$C$21*998.4*(C3/60*21.22/$C$22^2)^2/($C$22*10^-3*2)</f>
        <v>1.8947882288137263</v>
      </c>
    </row>
    <row r="25" spans="1:8">
      <c r="A25" t="s">
        <v>49</v>
      </c>
      <c r="B25" s="5"/>
      <c r="C25" s="22"/>
      <c r="D25" s="15"/>
      <c r="E25" s="12"/>
      <c r="F25" s="11"/>
      <c r="G25" s="11"/>
    </row>
    <row r="26" spans="1:8">
      <c r="A26" s="5" t="s">
        <v>40</v>
      </c>
      <c r="C26" s="27">
        <f>(1-(PI()/4*C14^2)/(PI()/4*C22^2))^2*998/2*F13^2</f>
        <v>43.506565495005425</v>
      </c>
      <c r="D26" s="15"/>
      <c r="E26" s="12"/>
      <c r="F26" s="11"/>
      <c r="G26" s="11"/>
      <c r="H26" s="27">
        <f>(1-(PI()/4*$C$14^2)/(PI()/4*$C$22^2))^2*998/2*(C3/60*21.22/$C$14^2)^2</f>
        <v>43.506565495005425</v>
      </c>
    </row>
    <row r="27" spans="1:8">
      <c r="A27" s="5"/>
      <c r="D27" s="15"/>
      <c r="E27" s="12"/>
      <c r="F27" s="11"/>
      <c r="G27" s="11"/>
    </row>
    <row r="28" spans="1:8">
      <c r="A28" s="5" t="s">
        <v>56</v>
      </c>
      <c r="B28" s="5"/>
      <c r="C28" s="22"/>
      <c r="D28" s="15"/>
      <c r="E28" s="12"/>
      <c r="F28" s="11"/>
      <c r="G28" s="21"/>
      <c r="H28" s="22"/>
    </row>
    <row r="29" spans="1:8">
      <c r="A29" s="5" t="s">
        <v>57</v>
      </c>
      <c r="B29" s="5"/>
      <c r="C29" s="29">
        <v>1</v>
      </c>
      <c r="D29" s="15"/>
      <c r="E29" s="12"/>
      <c r="F29" s="11"/>
      <c r="G29" s="21"/>
      <c r="H29" s="22"/>
    </row>
    <row r="30" spans="1:8">
      <c r="A30" s="5" t="s">
        <v>58</v>
      </c>
      <c r="B30" s="5"/>
      <c r="C30" s="28">
        <f>C29*998/2*F13^2</f>
        <v>194.29255541884297</v>
      </c>
      <c r="D30" s="15"/>
      <c r="E30" s="12"/>
      <c r="F30" s="11"/>
      <c r="G30" s="21"/>
      <c r="H30" s="28">
        <f>$C$29*998/2*(C3/60*21.22/$C$14^2)^2</f>
        <v>194.29255541884297</v>
      </c>
    </row>
    <row r="31" spans="1:8">
      <c r="A31" s="5"/>
      <c r="B31" s="5"/>
      <c r="C31" s="22"/>
      <c r="D31" s="15"/>
      <c r="E31" s="12"/>
      <c r="F31" s="11"/>
      <c r="G31" s="21"/>
      <c r="H31" s="22"/>
    </row>
    <row r="32" spans="1:8">
      <c r="A32" t="s">
        <v>59</v>
      </c>
      <c r="B32" s="5"/>
      <c r="C32" s="22"/>
      <c r="D32" s="15"/>
      <c r="E32" s="12"/>
      <c r="F32" s="11"/>
      <c r="G32" s="21"/>
      <c r="H32" s="22"/>
    </row>
    <row r="33" spans="1:8">
      <c r="A33" s="7" t="s">
        <v>60</v>
      </c>
      <c r="C33" s="29">
        <v>16</v>
      </c>
      <c r="D33" s="15"/>
      <c r="E33" s="12"/>
      <c r="F33" s="11"/>
      <c r="G33" s="21"/>
      <c r="H33" s="22"/>
    </row>
    <row r="34" spans="1:8">
      <c r="A34" s="5" t="s">
        <v>40</v>
      </c>
      <c r="C34" s="27">
        <f>(1-(PI()/4*C22^2)/(PI()/4*C33^2))^2*998/2*F21^2</f>
        <v>8.6000545990816715</v>
      </c>
      <c r="D34" s="15"/>
      <c r="E34" s="12"/>
      <c r="F34" s="11"/>
      <c r="G34" s="21"/>
      <c r="H34" s="27">
        <f>(1-(PI()/4*$C$22^2)/(PI()/4*$C$33^2))^2*998/2*(C3/60*21.22/$C$22^2)^2</f>
        <v>8.6000545990816715</v>
      </c>
    </row>
    <row r="35" spans="1:8">
      <c r="A35" s="5"/>
      <c r="B35" s="5"/>
      <c r="C35" s="22"/>
      <c r="D35" s="15"/>
      <c r="E35" s="12"/>
      <c r="F35" s="11"/>
      <c r="G35" s="21"/>
      <c r="H35" s="22"/>
    </row>
    <row r="36" spans="1:8">
      <c r="A36" s="5"/>
      <c r="B36" s="5"/>
      <c r="C36" s="22"/>
      <c r="D36" s="15"/>
      <c r="E36" s="12"/>
      <c r="F36" s="11"/>
      <c r="G36" s="21"/>
      <c r="H36" s="22"/>
    </row>
    <row r="37" spans="1:8">
      <c r="A37" s="5" t="s">
        <v>61</v>
      </c>
      <c r="B37" s="5"/>
      <c r="C37" s="22"/>
      <c r="D37" s="15"/>
      <c r="E37" s="12"/>
      <c r="F37" s="11"/>
      <c r="G37" s="11"/>
    </row>
    <row r="38" spans="1:8">
      <c r="A38" s="5"/>
      <c r="B38" s="5"/>
      <c r="C38" s="22"/>
      <c r="D38" s="15"/>
      <c r="E38" s="12"/>
      <c r="F38" s="11"/>
      <c r="G38" s="11"/>
    </row>
    <row r="39" spans="1:8">
      <c r="A39" s="7" t="s">
        <v>60</v>
      </c>
      <c r="C39" s="29">
        <v>16</v>
      </c>
      <c r="D39" s="15"/>
      <c r="E39" s="10" t="s">
        <v>12</v>
      </c>
      <c r="F39" s="20">
        <f>C3/60*21.22/C39^2</f>
        <v>0.19743441666666667</v>
      </c>
      <c r="G39" s="11"/>
    </row>
    <row r="40" spans="1:8">
      <c r="G40" s="11"/>
    </row>
    <row r="41" spans="1:8">
      <c r="A41" t="s">
        <v>36</v>
      </c>
      <c r="B41" s="5"/>
      <c r="C41" s="22"/>
      <c r="D41" s="15"/>
      <c r="E41" s="12"/>
      <c r="F41" s="11"/>
      <c r="G41" s="11"/>
    </row>
    <row r="42" spans="1:8">
      <c r="A42" s="7" t="s">
        <v>62</v>
      </c>
      <c r="C42" s="29">
        <v>12.4</v>
      </c>
      <c r="D42" s="15"/>
      <c r="E42" s="10" t="s">
        <v>12</v>
      </c>
      <c r="F42" s="20">
        <f>C3/60*21.22/C42^2</f>
        <v>0.32871494970516818</v>
      </c>
      <c r="G42" s="11"/>
    </row>
    <row r="43" spans="1:8">
      <c r="A43" s="30" t="s">
        <v>63</v>
      </c>
      <c r="C43" s="29">
        <v>0.63</v>
      </c>
      <c r="D43" s="15"/>
      <c r="E43" s="12"/>
      <c r="F43" s="11"/>
      <c r="G43" s="11"/>
    </row>
    <row r="44" spans="1:8">
      <c r="A44" s="5" t="s">
        <v>40</v>
      </c>
      <c r="C44" s="27">
        <f>(1/$C$43-1)^2*(1-(PI()/4*$C$42^2/(PI()/4*$C$39^2)))*998/2*$F$42^2</f>
        <v>7.4275003711583594</v>
      </c>
      <c r="D44" s="15"/>
      <c r="E44" s="12"/>
      <c r="F44" s="11"/>
      <c r="G44" s="11"/>
    </row>
    <row r="45" spans="1:8">
      <c r="A45" s="5"/>
      <c r="D45" s="15"/>
      <c r="E45" s="12"/>
      <c r="F45" s="11"/>
      <c r="G45" s="11"/>
    </row>
    <row r="46" spans="1:8">
      <c r="A46" t="s">
        <v>55</v>
      </c>
      <c r="G46" s="23"/>
    </row>
    <row r="47" spans="1:8">
      <c r="A47" s="5" t="s">
        <v>30</v>
      </c>
      <c r="B47" s="5"/>
      <c r="C47" s="18">
        <v>1.0999999999999999E-2</v>
      </c>
      <c r="D47" s="19"/>
      <c r="E47" s="10" t="s">
        <v>12</v>
      </c>
      <c r="F47" s="20">
        <f>C3/60*21.22/C42^2</f>
        <v>0.32871494970516818</v>
      </c>
      <c r="G47" s="21">
        <f>0.3164*F42^-0.25</f>
        <v>0.41786078023290363</v>
      </c>
    </row>
    <row r="48" spans="1:8">
      <c r="A48" s="7"/>
      <c r="B48" s="7"/>
      <c r="C48" s="16"/>
      <c r="D48" s="19"/>
      <c r="E48" s="10" t="s">
        <v>13</v>
      </c>
      <c r="F48" s="20">
        <f>F47*C42*10^3</f>
        <v>4076.0653763440855</v>
      </c>
      <c r="G48" s="21">
        <f>64/F48</f>
        <v>1.5701416461922166E-2</v>
      </c>
    </row>
    <row r="49" spans="1:8">
      <c r="A49" s="5" t="s">
        <v>35</v>
      </c>
      <c r="B49" s="5"/>
      <c r="C49" s="28">
        <f>F49*C47*998.4*F47^2/(C42*10^-3*2)</f>
        <v>19.994755568301812</v>
      </c>
      <c r="D49" s="15"/>
      <c r="E49" s="12" t="s">
        <v>14</v>
      </c>
      <c r="F49" s="11">
        <f>IF(F48&gt;2300,G47,G48)</f>
        <v>0.41786078023290363</v>
      </c>
      <c r="G49" s="21"/>
      <c r="H49" s="14">
        <f>IF($C$3/60*21.22/$C$22^2*$C$22*10^3&gt;2300,0.3164*($C$3/60*21.22/$C$22^2*$C$22*10^3)^-0.25,64/($C$3/60*21.22/$C$22^2*$C$22*10^3))*$C$21*998.4*($C$3/60*21.22/$C$22^2)^2/($C$22*10^-3*2)</f>
        <v>1.8947882288137263</v>
      </c>
    </row>
    <row r="50" spans="1:8">
      <c r="A50" s="5"/>
      <c r="B50" s="5"/>
      <c r="C50" s="31"/>
      <c r="D50" s="15"/>
      <c r="E50" s="12"/>
      <c r="F50" s="11"/>
      <c r="G50" s="21"/>
      <c r="H50" s="22"/>
    </row>
    <row r="51" spans="1:8">
      <c r="A51" s="5" t="s">
        <v>56</v>
      </c>
      <c r="B51" s="5"/>
      <c r="C51" s="22"/>
      <c r="D51" s="15"/>
      <c r="E51" s="12"/>
      <c r="F51" s="11"/>
      <c r="G51" s="11"/>
    </row>
    <row r="52" spans="1:8">
      <c r="A52" s="5" t="s">
        <v>57</v>
      </c>
      <c r="B52" s="5"/>
      <c r="C52" s="29">
        <v>1</v>
      </c>
      <c r="D52" s="15"/>
      <c r="E52" s="12"/>
      <c r="F52" s="11"/>
      <c r="G52" s="11"/>
    </row>
    <row r="53" spans="1:8">
      <c r="A53" s="5" t="s">
        <v>58</v>
      </c>
      <c r="B53" s="5"/>
      <c r="C53" s="28">
        <f>C52*998/2*$F$56^2</f>
        <v>194.29255541884297</v>
      </c>
      <c r="D53" s="15"/>
      <c r="E53" s="12"/>
      <c r="F53" s="11"/>
      <c r="G53" s="11"/>
    </row>
    <row r="54" spans="1:8">
      <c r="A54" s="5"/>
      <c r="B54" s="5"/>
      <c r="C54" s="22"/>
      <c r="D54" s="15"/>
      <c r="E54" s="12"/>
      <c r="F54" s="11"/>
      <c r="G54" s="11"/>
    </row>
    <row r="55" spans="1:8">
      <c r="A55" t="s">
        <v>45</v>
      </c>
    </row>
    <row r="56" spans="1:8">
      <c r="A56" s="7" t="s">
        <v>34</v>
      </c>
      <c r="B56" s="7"/>
      <c r="C56" s="16">
        <v>9</v>
      </c>
      <c r="E56" s="10" t="s">
        <v>12</v>
      </c>
      <c r="F56" s="20">
        <f>C3/60*21.22/C56^2</f>
        <v>0.62399025514403295</v>
      </c>
    </row>
    <row r="57" spans="1:8">
      <c r="A57" t="s">
        <v>37</v>
      </c>
      <c r="C57" s="8">
        <v>0.63</v>
      </c>
    </row>
    <row r="58" spans="1:8">
      <c r="A58" s="5" t="s">
        <v>38</v>
      </c>
      <c r="C58" s="27">
        <f>(1/$C$57-1)^2*(1-(PI()/4*$C$56^2/(PI()/4*$C$42^2)))*998/2*$F$56^2</f>
        <v>31.712306452144613</v>
      </c>
    </row>
    <row r="59" spans="1:8">
      <c r="A59" s="5"/>
    </row>
    <row r="60" spans="1:8">
      <c r="A60" t="s">
        <v>54</v>
      </c>
      <c r="G60" s="23"/>
    </row>
    <row r="61" spans="1:8">
      <c r="A61" s="5" t="s">
        <v>30</v>
      </c>
      <c r="B61" s="5"/>
      <c r="C61" s="18">
        <v>6.0000000000000001E-3</v>
      </c>
      <c r="D61" s="19"/>
      <c r="G61" s="21">
        <f>0.3164*F62^-0.25</f>
        <v>3.6549496252762936E-2</v>
      </c>
    </row>
    <row r="62" spans="1:8">
      <c r="C62" s="32"/>
      <c r="D62" s="19"/>
      <c r="E62" s="10" t="s">
        <v>13</v>
      </c>
      <c r="F62" s="20">
        <f>F56*C56*10^3</f>
        <v>5615.9122962962965</v>
      </c>
      <c r="G62" s="21">
        <f>64/F62</f>
        <v>1.1396189367524153E-2</v>
      </c>
    </row>
    <row r="63" spans="1:8">
      <c r="A63" s="5" t="s">
        <v>35</v>
      </c>
      <c r="B63" s="5"/>
      <c r="C63" s="14">
        <f>F63*C61*998.4*F56^2/(C56*10^-3*2)</f>
        <v>4.7360941577680578</v>
      </c>
      <c r="D63" s="15"/>
      <c r="E63" s="12" t="s">
        <v>14</v>
      </c>
      <c r="F63" s="11">
        <f>IF(F62&gt;2300,G61,G62)</f>
        <v>3.6549496252762936E-2</v>
      </c>
      <c r="G63" s="21"/>
      <c r="H63" s="14">
        <f>IF($C$3/60*21.22/$C$14^2*$C$14*10^3&gt;2300,0.3164*($C$3/60*21.22/$C$14^2*$C$14*10^3)^-0.25,64/($C$3/60*21.22/$C$14^2*$C$14*10^3))*$C$13*998.4*($C$3/60*21.22/$C$14^2)^2/($C$14*10^-3*2)</f>
        <v>4.7360941577680578</v>
      </c>
    </row>
    <row r="65" spans="1:6">
      <c r="A65" t="s">
        <v>64</v>
      </c>
    </row>
    <row r="66" spans="1:6">
      <c r="A66" s="7" t="s">
        <v>34</v>
      </c>
      <c r="B66" s="7"/>
      <c r="C66" s="16">
        <v>7</v>
      </c>
      <c r="E66" s="10" t="s">
        <v>12</v>
      </c>
      <c r="F66" s="20">
        <f>C3/60*21.22/C66^2</f>
        <v>1.0314940952380953</v>
      </c>
    </row>
    <row r="67" spans="1:6">
      <c r="A67" t="s">
        <v>37</v>
      </c>
      <c r="C67" s="8">
        <v>0.63</v>
      </c>
    </row>
    <row r="68" spans="1:6">
      <c r="A68" s="5" t="s">
        <v>38</v>
      </c>
      <c r="C68" s="27">
        <f>(1/$C$67-1)^2*(1-(PI()/4*$C$66^2/(PI()/4*$C$56^2)))*998/2*$F$66^2</f>
        <v>72.347136548450635</v>
      </c>
    </row>
    <row r="70" spans="1:6">
      <c r="D70" s="33"/>
    </row>
  </sheetData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tabSelected="1" showOutlineSymbols="0" workbookViewId="0"/>
  </sheetViews>
  <sheetFormatPr defaultColWidth="11.42578125" defaultRowHeight="12.75"/>
  <cols>
    <col min="1" max="2" width="11.7109375" customWidth="1"/>
    <col min="3" max="3" width="5.7109375" customWidth="1"/>
    <col min="4" max="4" width="26.7109375" customWidth="1"/>
    <col min="5" max="5" width="12.7109375" customWidth="1"/>
    <col min="6" max="6" width="10.7109375" customWidth="1"/>
    <col min="7" max="7" width="15.7109375" customWidth="1"/>
    <col min="8" max="8" width="14.7109375" customWidth="1"/>
  </cols>
  <sheetData>
    <row r="1" spans="1:12" ht="20.100000000000001" customHeight="1">
      <c r="A1" s="41"/>
      <c r="B1" s="41"/>
      <c r="C1" s="5"/>
      <c r="D1" s="5"/>
      <c r="E1" s="5"/>
      <c r="F1" s="5"/>
      <c r="G1" s="5"/>
      <c r="H1" s="5"/>
      <c r="I1" s="41"/>
      <c r="J1" s="41"/>
      <c r="K1" s="41"/>
      <c r="L1" s="41"/>
    </row>
    <row r="2" spans="1:12" ht="20.100000000000001" customHeight="1">
      <c r="A2" s="41"/>
      <c r="B2" s="41"/>
      <c r="C2" s="5"/>
      <c r="D2" s="5"/>
      <c r="E2" s="5"/>
      <c r="F2" s="5"/>
      <c r="G2" s="5"/>
      <c r="H2" s="5"/>
      <c r="I2" s="41"/>
      <c r="J2" s="41"/>
      <c r="K2" s="41"/>
      <c r="L2" s="41"/>
    </row>
    <row r="3" spans="1:12" ht="20.100000000000001" customHeight="1">
      <c r="A3" s="41"/>
      <c r="B3" s="105" t="s">
        <v>115</v>
      </c>
      <c r="C3" s="42"/>
      <c r="D3" s="43"/>
      <c r="E3" s="30"/>
      <c r="F3" s="30"/>
      <c r="G3" s="30"/>
      <c r="H3" s="30"/>
      <c r="I3" s="41"/>
      <c r="J3" s="41"/>
      <c r="K3" s="41"/>
      <c r="L3" s="41"/>
    </row>
    <row r="4" spans="1:12" ht="20.100000000000001" customHeight="1">
      <c r="A4" s="41"/>
      <c r="B4" s="30"/>
      <c r="C4" s="30"/>
      <c r="D4" s="30"/>
      <c r="E4" s="30"/>
      <c r="F4" s="30"/>
      <c r="G4" s="30"/>
      <c r="H4" s="30"/>
      <c r="I4" s="41"/>
      <c r="J4" s="41"/>
      <c r="K4" s="41"/>
      <c r="L4" s="41"/>
    </row>
    <row r="5" spans="1:12" ht="20.100000000000001" customHeight="1">
      <c r="A5" s="41"/>
      <c r="B5" s="30"/>
      <c r="C5" s="30"/>
      <c r="D5" s="30"/>
      <c r="E5" s="30"/>
      <c r="F5" s="30"/>
      <c r="G5" s="30"/>
      <c r="H5" s="30"/>
      <c r="I5" s="41"/>
      <c r="J5" s="41"/>
      <c r="K5" s="41"/>
      <c r="L5" s="41"/>
    </row>
    <row r="6" spans="1:12" ht="20.100000000000001" customHeight="1">
      <c r="A6" s="41"/>
      <c r="B6" s="41"/>
      <c r="C6" s="41"/>
      <c r="D6" s="41"/>
      <c r="E6" s="44"/>
      <c r="F6" s="44"/>
      <c r="G6" s="30"/>
      <c r="H6" s="30"/>
      <c r="I6" s="41"/>
      <c r="J6" s="41"/>
      <c r="K6" s="41"/>
      <c r="L6" s="41"/>
    </row>
    <row r="7" spans="1:12" ht="20.100000000000001" customHeight="1">
      <c r="A7" s="41"/>
      <c r="B7" s="30"/>
      <c r="C7" s="30"/>
      <c r="D7" s="88" t="s">
        <v>118</v>
      </c>
      <c r="E7" s="45"/>
      <c r="F7" s="45"/>
      <c r="G7" s="30"/>
      <c r="H7" s="30"/>
      <c r="I7" s="41"/>
      <c r="J7" s="41"/>
      <c r="K7" s="41"/>
      <c r="L7" s="41"/>
    </row>
    <row r="8" spans="1:12" ht="20.100000000000001" customHeight="1">
      <c r="A8" s="41"/>
      <c r="B8" s="30"/>
      <c r="C8" s="30"/>
      <c r="D8" s="89" t="s">
        <v>116</v>
      </c>
      <c r="E8" s="45"/>
      <c r="F8" s="45"/>
      <c r="G8" s="30"/>
      <c r="H8" s="30"/>
      <c r="I8" s="41"/>
      <c r="K8" s="41"/>
      <c r="L8" s="41"/>
    </row>
    <row r="9" spans="1:12" ht="20.100000000000001" customHeight="1">
      <c r="A9" s="41"/>
      <c r="B9" s="30"/>
      <c r="C9" s="30"/>
      <c r="D9" s="88" t="s">
        <v>117</v>
      </c>
      <c r="E9" s="45"/>
      <c r="F9" s="45"/>
      <c r="G9" s="44"/>
      <c r="H9" s="44"/>
      <c r="I9" s="41"/>
      <c r="J9" s="41"/>
      <c r="K9" s="41"/>
      <c r="L9" s="41"/>
    </row>
    <row r="10" spans="1:12" ht="20.100000000000001" customHeight="1">
      <c r="A10" s="41"/>
      <c r="B10" s="30"/>
      <c r="C10" s="30"/>
      <c r="D10" s="88" t="s">
        <v>119</v>
      </c>
      <c r="E10" s="45"/>
      <c r="F10" s="45"/>
      <c r="G10" s="44"/>
      <c r="H10" s="44"/>
      <c r="I10" s="41"/>
      <c r="J10" s="41"/>
      <c r="K10" s="41"/>
      <c r="L10" s="41"/>
    </row>
    <row r="11" spans="1:12" ht="20.100000000000001" customHeight="1">
      <c r="A11" s="41"/>
      <c r="B11" s="30"/>
      <c r="C11" s="30"/>
      <c r="D11" s="88" t="s">
        <v>120</v>
      </c>
      <c r="E11" s="45"/>
      <c r="F11" s="45"/>
      <c r="G11" s="44"/>
      <c r="H11" s="44"/>
      <c r="I11" s="41"/>
      <c r="J11" s="41"/>
      <c r="K11" s="41"/>
      <c r="L11" s="41"/>
    </row>
    <row r="12" spans="1:12" ht="20.100000000000001" customHeight="1">
      <c r="A12" s="41"/>
      <c r="B12" s="30"/>
      <c r="C12" s="30"/>
      <c r="D12" s="46"/>
      <c r="E12" s="45"/>
      <c r="F12" s="45"/>
      <c r="G12" s="44"/>
      <c r="H12" s="44"/>
      <c r="I12" s="41"/>
      <c r="J12" s="41"/>
      <c r="K12" s="41"/>
      <c r="L12" s="41"/>
    </row>
    <row r="13" spans="1:12" ht="20.100000000000001" customHeight="1">
      <c r="A13" s="41"/>
      <c r="B13" s="44"/>
      <c r="C13" s="44"/>
      <c r="D13" s="44"/>
      <c r="E13" s="44"/>
      <c r="F13" s="44"/>
      <c r="G13" s="44"/>
      <c r="H13" s="44"/>
      <c r="I13" s="41"/>
      <c r="J13" s="41"/>
      <c r="K13" s="41"/>
      <c r="L13" s="41"/>
    </row>
    <row r="14" spans="1:12" ht="20.100000000000001" customHeight="1">
      <c r="A14" s="41"/>
      <c r="B14" s="44"/>
      <c r="C14" s="44"/>
      <c r="D14" s="47"/>
      <c r="E14" s="44"/>
      <c r="F14" s="44"/>
      <c r="G14" s="44"/>
      <c r="H14" s="44"/>
      <c r="I14" s="41"/>
      <c r="J14" s="41"/>
      <c r="K14" s="41"/>
      <c r="L14" s="41"/>
    </row>
    <row r="15" spans="1:12" ht="20.100000000000001" customHeight="1">
      <c r="A15" s="41"/>
      <c r="B15" s="44"/>
      <c r="C15" s="44"/>
      <c r="D15" s="120" t="s">
        <v>151</v>
      </c>
      <c r="E15" s="44"/>
      <c r="F15" s="44"/>
      <c r="G15" s="44"/>
      <c r="H15" s="44"/>
      <c r="I15" s="41"/>
      <c r="J15" s="41"/>
      <c r="K15" s="41"/>
      <c r="L15" s="41"/>
    </row>
    <row r="16" spans="1:12" ht="20.100000000000001" customHeight="1">
      <c r="A16" s="41"/>
      <c r="B16" s="44"/>
      <c r="C16" s="44"/>
      <c r="D16" s="44"/>
      <c r="E16" s="44"/>
      <c r="F16" s="44"/>
      <c r="G16" s="44"/>
      <c r="H16" s="44"/>
      <c r="I16" s="41"/>
      <c r="J16" s="41"/>
      <c r="K16" s="41"/>
      <c r="L16" s="41"/>
    </row>
    <row r="17" spans="1:12" ht="12.75" customHeight="1">
      <c r="A17" s="41"/>
      <c r="B17" s="44"/>
      <c r="C17" s="44"/>
      <c r="D17" s="115" t="s">
        <v>140</v>
      </c>
      <c r="E17" s="44"/>
      <c r="F17" s="44"/>
      <c r="G17" s="44"/>
      <c r="H17" s="44"/>
      <c r="I17" s="41"/>
      <c r="J17" s="41"/>
      <c r="K17" s="41"/>
      <c r="L17" s="41"/>
    </row>
    <row r="18" spans="1:12" ht="12.75" customHeight="1">
      <c r="A18" s="41"/>
      <c r="B18" s="44"/>
      <c r="C18" s="30"/>
      <c r="D18" s="87" t="s">
        <v>141</v>
      </c>
      <c r="E18" s="30"/>
      <c r="F18" s="30"/>
      <c r="G18" s="30"/>
      <c r="H18" s="30"/>
      <c r="I18" s="41"/>
      <c r="J18" s="41"/>
      <c r="K18" s="41"/>
      <c r="L18" s="41"/>
    </row>
    <row r="19" spans="1:12" ht="12.75" customHeight="1">
      <c r="A19" s="41"/>
      <c r="B19" s="44"/>
      <c r="C19" s="30"/>
      <c r="D19" s="87" t="s">
        <v>142</v>
      </c>
      <c r="E19" s="30"/>
      <c r="F19" s="30"/>
      <c r="G19" s="30"/>
      <c r="H19" s="30"/>
      <c r="I19" s="41"/>
      <c r="J19" s="41"/>
      <c r="K19" s="41"/>
      <c r="L19" s="41"/>
    </row>
    <row r="20" spans="1:12">
      <c r="A20" s="41"/>
      <c r="B20" s="44"/>
      <c r="C20" s="30"/>
      <c r="D20" s="87" t="s">
        <v>143</v>
      </c>
      <c r="G20" s="48"/>
      <c r="H20" s="48"/>
      <c r="I20" s="41"/>
      <c r="J20" s="41"/>
      <c r="K20" s="41"/>
      <c r="L20" s="41"/>
    </row>
    <row r="21" spans="1:12">
      <c r="A21" s="41"/>
      <c r="B21" s="44"/>
      <c r="C21" s="30"/>
      <c r="D21" s="87"/>
      <c r="G21" s="48"/>
      <c r="H21" s="48"/>
      <c r="I21" s="41"/>
      <c r="J21" s="41"/>
      <c r="K21" s="41"/>
      <c r="L21" s="41"/>
    </row>
    <row r="22" spans="1:12">
      <c r="A22" s="41"/>
      <c r="B22" s="44"/>
      <c r="C22" s="30"/>
      <c r="D22" s="87"/>
      <c r="G22" s="48"/>
      <c r="H22" s="48"/>
      <c r="I22" s="41"/>
      <c r="J22" s="41"/>
      <c r="K22" s="41"/>
      <c r="L22" s="41"/>
    </row>
    <row r="23" spans="1:12">
      <c r="A23" s="41"/>
      <c r="B23" s="44"/>
      <c r="C23" s="30"/>
      <c r="G23" s="48"/>
      <c r="H23" s="48"/>
      <c r="I23" s="41"/>
      <c r="J23" s="41"/>
      <c r="K23" s="41"/>
      <c r="L23" s="41"/>
    </row>
    <row r="24" spans="1:12">
      <c r="A24" s="41"/>
      <c r="B24" s="44"/>
      <c r="C24" s="30"/>
      <c r="G24" s="48"/>
      <c r="H24" s="48"/>
      <c r="I24" s="41"/>
      <c r="J24" s="41"/>
      <c r="K24" s="41"/>
      <c r="L24" s="41"/>
    </row>
    <row r="25" spans="1:12">
      <c r="A25" s="41"/>
      <c r="B25" s="44"/>
      <c r="C25" s="30"/>
      <c r="G25" s="48"/>
      <c r="H25" s="48"/>
      <c r="I25" s="41"/>
      <c r="J25" s="41"/>
      <c r="K25" s="41"/>
      <c r="L25" s="41"/>
    </row>
    <row r="26" spans="1:12">
      <c r="A26" s="41"/>
      <c r="B26" s="44"/>
      <c r="C26" s="44"/>
      <c r="D26" s="44"/>
      <c r="E26" s="44"/>
      <c r="F26" s="44"/>
      <c r="G26" s="44"/>
      <c r="H26" s="44"/>
      <c r="I26" s="41"/>
      <c r="J26" s="41"/>
      <c r="K26" s="41"/>
      <c r="L26" s="41"/>
    </row>
    <row r="27" spans="1:1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8" spans="1:1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spans="1:1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</row>
    <row r="31" spans="1:1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1:1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1:1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</row>
    <row r="35" spans="1:1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</row>
    <row r="36" spans="1:1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</row>
    <row r="37" spans="1:1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</row>
    <row r="38" spans="1:1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spans="1:1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</row>
  </sheetData>
  <sheetProtection password="B2D7" sheet="1" objects="1" scenarios="1"/>
  <phoneticPr fontId="0" type="noConversion"/>
  <hyperlinks>
    <hyperlink ref="D7" location="'Druckverlust der K - BeKa Matte'!A1" display="Druckverlust der K - BeKa Matte"/>
    <hyperlink ref="D8" location="'Reihenschaltung mit Schläuchen'!A1" display="Reihenschaltung K-Matten mit Schläuchen"/>
    <hyperlink ref="D9" location="'Reihenschaltung ohne Schläuche'!A1" display="Reihenschaltung K-Matten ohne Schläuche"/>
    <hyperlink ref="D10" location="'Druckverlust der Matte PN20'!A1" display="Druckverlust der P - Matten PN20"/>
    <hyperlink ref="D11" location="'Druckverlust der Matte P.FS20'!A1" display="Druckverlust der Matte P.FS20"/>
  </hyperlink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4"/>
  <sheetViews>
    <sheetView showGridLines="0" showOutlineSymbols="0" workbookViewId="0">
      <selection activeCell="O15" sqref="O15"/>
    </sheetView>
  </sheetViews>
  <sheetFormatPr defaultColWidth="11.42578125" defaultRowHeight="12.75"/>
  <cols>
    <col min="1" max="2" width="11.7109375" customWidth="1"/>
    <col min="3" max="3" width="5.7109375" customWidth="1"/>
    <col min="4" max="4" width="26.7109375" customWidth="1"/>
    <col min="5" max="5" width="12.7109375" customWidth="1"/>
    <col min="6" max="6" width="10.7109375" style="1" customWidth="1"/>
    <col min="7" max="7" width="15.7109375" customWidth="1"/>
    <col min="8" max="9" width="14.7109375" customWidth="1"/>
    <col min="10" max="10" width="15.7109375" hidden="1" customWidth="1"/>
    <col min="11" max="11" width="11" hidden="1" customWidth="1"/>
    <col min="12" max="12" width="11.140625" hidden="1" customWidth="1"/>
    <col min="13" max="13" width="13.28515625" hidden="1" customWidth="1"/>
    <col min="14" max="14" width="22.7109375" hidden="1" customWidth="1"/>
  </cols>
  <sheetData>
    <row r="1" spans="1:11" ht="20.100000000000001" customHeight="1"/>
    <row r="2" spans="1:11" ht="20.100000000000001" customHeight="1"/>
    <row r="3" spans="1:11" ht="20.100000000000001" customHeight="1">
      <c r="A3" s="75"/>
      <c r="B3" s="106" t="s">
        <v>133</v>
      </c>
      <c r="C3" s="75"/>
      <c r="E3" s="75"/>
      <c r="F3" s="76"/>
      <c r="G3" s="75"/>
    </row>
    <row r="4" spans="1:11" ht="20.100000000000001" customHeight="1">
      <c r="A4" s="75"/>
      <c r="B4" s="77"/>
      <c r="C4" s="75"/>
      <c r="E4" s="75"/>
      <c r="F4" s="76"/>
      <c r="G4" s="75"/>
    </row>
    <row r="5" spans="1:11" ht="20.100000000000001" customHeight="1">
      <c r="A5" s="75"/>
      <c r="B5" s="77"/>
      <c r="C5" s="75"/>
      <c r="E5" s="75"/>
      <c r="F5" s="76"/>
      <c r="G5" s="75"/>
    </row>
    <row r="6" spans="1:11" s="25" customFormat="1" ht="20.100000000000001" customHeight="1">
      <c r="A6" s="75"/>
      <c r="B6" s="75"/>
      <c r="C6" s="75"/>
      <c r="D6" s="75"/>
      <c r="E6" s="75"/>
      <c r="F6" s="76"/>
      <c r="G6" s="75"/>
    </row>
    <row r="7" spans="1:11" ht="20.100000000000001" customHeight="1">
      <c r="A7" s="75"/>
      <c r="B7" s="75"/>
      <c r="C7" s="75"/>
      <c r="D7" s="94" t="s">
        <v>122</v>
      </c>
      <c r="E7" s="95"/>
      <c r="F7" s="94"/>
      <c r="G7" s="114" t="str">
        <f>INDEX(J7:J18,K7)</f>
        <v>K.S15</v>
      </c>
      <c r="J7" s="2" t="s">
        <v>65</v>
      </c>
      <c r="K7" s="2">
        <v>4</v>
      </c>
    </row>
    <row r="8" spans="1:11" ht="20.100000000000001" customHeight="1">
      <c r="A8" s="75"/>
      <c r="B8" s="75"/>
      <c r="C8" s="75"/>
      <c r="D8" s="100"/>
      <c r="E8" s="101"/>
      <c r="F8" s="100"/>
      <c r="G8" s="102"/>
      <c r="J8" s="2"/>
      <c r="K8" s="2"/>
    </row>
    <row r="9" spans="1:11" ht="20.100000000000001" customHeight="1">
      <c r="A9" s="75"/>
      <c r="B9" s="75"/>
      <c r="C9" s="75"/>
      <c r="D9" s="79"/>
      <c r="E9" s="79"/>
      <c r="F9" s="78"/>
      <c r="G9" s="79"/>
      <c r="J9" s="2" t="s">
        <v>66</v>
      </c>
      <c r="K9" s="2"/>
    </row>
    <row r="10" spans="1:11" ht="20.100000000000001" customHeight="1">
      <c r="A10" s="75"/>
      <c r="B10" s="75"/>
      <c r="C10" s="75"/>
      <c r="D10" s="78" t="s">
        <v>145</v>
      </c>
      <c r="E10" s="79"/>
      <c r="F10" s="81" t="s">
        <v>67</v>
      </c>
      <c r="G10" s="82">
        <v>1</v>
      </c>
      <c r="J10" s="2" t="s">
        <v>69</v>
      </c>
      <c r="K10" s="2"/>
    </row>
    <row r="11" spans="1:11" ht="20.100000000000001" customHeight="1">
      <c r="A11" s="75"/>
      <c r="B11" s="75"/>
      <c r="C11" s="75"/>
      <c r="D11" s="94" t="s">
        <v>144</v>
      </c>
      <c r="E11" s="95"/>
      <c r="F11" s="96" t="s">
        <v>67</v>
      </c>
      <c r="G11" s="97">
        <v>0.4</v>
      </c>
      <c r="I11" s="74" t="s">
        <v>121</v>
      </c>
      <c r="J11" s="2" t="s">
        <v>68</v>
      </c>
      <c r="K11" s="2"/>
    </row>
    <row r="12" spans="1:11" ht="20.100000000000001" customHeight="1">
      <c r="A12" s="75"/>
      <c r="B12" s="75"/>
      <c r="C12" s="75"/>
      <c r="D12" s="79"/>
      <c r="E12" s="78"/>
      <c r="F12" s="78"/>
      <c r="G12" s="83"/>
      <c r="J12" s="2" t="s">
        <v>99</v>
      </c>
      <c r="K12" s="2"/>
    </row>
    <row r="13" spans="1:11" ht="20.100000000000001" customHeight="1">
      <c r="A13" s="75"/>
      <c r="B13" s="75"/>
      <c r="C13" s="75"/>
      <c r="D13" s="78" t="s">
        <v>147</v>
      </c>
      <c r="E13" s="79"/>
      <c r="F13" s="81" t="s">
        <v>113</v>
      </c>
      <c r="G13" s="82">
        <v>30</v>
      </c>
      <c r="J13" s="2" t="s">
        <v>70</v>
      </c>
      <c r="K13" s="2"/>
    </row>
    <row r="14" spans="1:11" ht="20.100000000000001" customHeight="1">
      <c r="A14" s="75"/>
      <c r="B14" s="75"/>
      <c r="C14" s="75"/>
      <c r="D14" s="94" t="s">
        <v>146</v>
      </c>
      <c r="E14" s="95"/>
      <c r="F14" s="96" t="s">
        <v>72</v>
      </c>
      <c r="G14" s="94">
        <f>G13*G11*G10</f>
        <v>12</v>
      </c>
      <c r="J14" s="2" t="s">
        <v>98</v>
      </c>
      <c r="K14" s="2"/>
    </row>
    <row r="15" spans="1:11" ht="20.100000000000001" customHeight="1">
      <c r="A15" s="75"/>
      <c r="B15" s="75"/>
      <c r="C15" s="75"/>
      <c r="D15" s="78"/>
      <c r="E15" s="79"/>
      <c r="F15" s="78"/>
      <c r="G15" s="78"/>
      <c r="J15" s="2" t="s">
        <v>97</v>
      </c>
      <c r="K15" s="2"/>
    </row>
    <row r="16" spans="1:11" ht="20.100000000000001" customHeight="1">
      <c r="A16" s="75"/>
      <c r="B16" s="75"/>
      <c r="C16" s="75"/>
      <c r="D16" s="78" t="s">
        <v>124</v>
      </c>
      <c r="E16" s="79"/>
      <c r="F16" s="78"/>
      <c r="G16" s="80" t="str">
        <f>INDEX(J26:J29,K27)</f>
        <v>00</v>
      </c>
      <c r="J16" s="2" t="s">
        <v>95</v>
      </c>
    </row>
    <row r="17" spans="1:13" ht="20.100000000000001" customHeight="1">
      <c r="A17" s="75"/>
      <c r="B17" s="75"/>
      <c r="C17" s="75"/>
      <c r="D17" s="94" t="s">
        <v>125</v>
      </c>
      <c r="E17" s="95"/>
      <c r="F17" s="96" t="s">
        <v>74</v>
      </c>
      <c r="G17" s="98">
        <f>INDEX(J31:J34,K31)</f>
        <v>1200</v>
      </c>
      <c r="H17" s="1"/>
      <c r="J17" s="2" t="s">
        <v>96</v>
      </c>
    </row>
    <row r="18" spans="1:13" ht="20.100000000000001" customHeight="1">
      <c r="A18" s="75"/>
      <c r="B18" s="75"/>
      <c r="C18" s="75"/>
      <c r="D18" s="78"/>
      <c r="E18" s="79"/>
      <c r="F18" s="78"/>
      <c r="G18" s="78"/>
      <c r="J18" s="2" t="s">
        <v>71</v>
      </c>
    </row>
    <row r="19" spans="1:13" ht="20.100000000000001" customHeight="1">
      <c r="A19" s="75"/>
      <c r="B19" s="75"/>
      <c r="C19" s="75"/>
      <c r="D19" s="78" t="s">
        <v>126</v>
      </c>
      <c r="E19" s="79"/>
      <c r="F19" s="81" t="s">
        <v>77</v>
      </c>
      <c r="G19" s="86">
        <f>L30</f>
        <v>809.33298304298603</v>
      </c>
    </row>
    <row r="20" spans="1:13" ht="20.100000000000001" customHeight="1">
      <c r="A20" s="75"/>
      <c r="B20" s="75"/>
      <c r="C20" s="75"/>
      <c r="D20" s="78"/>
      <c r="E20" s="79"/>
      <c r="F20" s="81" t="s">
        <v>79</v>
      </c>
      <c r="G20" s="85">
        <f>G19/1000</f>
        <v>0.80933298304298606</v>
      </c>
    </row>
    <row r="21" spans="1:13" ht="20.100000000000001" customHeight="1">
      <c r="A21" s="75"/>
      <c r="B21" s="75"/>
      <c r="C21" s="75"/>
      <c r="D21" s="78"/>
      <c r="E21" s="78"/>
      <c r="F21" s="78"/>
      <c r="G21" s="78"/>
    </row>
    <row r="22" spans="1:13" ht="20.100000000000001" customHeight="1">
      <c r="A22" s="75"/>
      <c r="B22" s="75"/>
      <c r="C22" s="75"/>
      <c r="D22" s="94" t="s">
        <v>127</v>
      </c>
      <c r="E22" s="95"/>
      <c r="F22" s="96" t="s">
        <v>77</v>
      </c>
      <c r="G22" s="99">
        <f>IF(G16="00",L30,(L30+(2*(Flex!C4+Anschluß!C4))))</f>
        <v>809.33298304298603</v>
      </c>
    </row>
    <row r="23" spans="1:13" ht="20.100000000000001" customHeight="1">
      <c r="A23" s="75"/>
      <c r="B23" s="75"/>
      <c r="C23" s="75"/>
      <c r="D23" s="78"/>
      <c r="E23" s="79"/>
      <c r="F23" s="81" t="s">
        <v>79</v>
      </c>
      <c r="G23" s="85">
        <f>G22/1000</f>
        <v>0.80933298304298606</v>
      </c>
    </row>
    <row r="24" spans="1:13" ht="20.100000000000001" customHeight="1"/>
    <row r="26" spans="1:13">
      <c r="J26" s="4" t="s">
        <v>73</v>
      </c>
      <c r="K26" s="2"/>
    </row>
    <row r="27" spans="1:13">
      <c r="J27" s="4" t="s">
        <v>75</v>
      </c>
      <c r="K27" s="2">
        <v>1</v>
      </c>
    </row>
    <row r="28" spans="1:13">
      <c r="J28" s="4" t="s">
        <v>76</v>
      </c>
      <c r="K28" s="2"/>
    </row>
    <row r="29" spans="1:13">
      <c r="J29" s="4" t="s">
        <v>78</v>
      </c>
    </row>
    <row r="30" spans="1:13">
      <c r="J30" t="s">
        <v>80</v>
      </c>
      <c r="K30" t="s">
        <v>77</v>
      </c>
      <c r="L30" s="1">
        <f>IF(G7="K.U10",'U10'!B17,IF(G7="K.UM10",'U10'!B17,IF(G7="K.S15",'S15'!B17,IF(G7="K.G10",'G10'!B17,IF(G7="K.G20",'G20'!B17,IF(G7="K.G30",'G30'!B17,IF(G7="K.GM10",'U10'!B17,IF(G7="K.GG10",'U10'!B17,M30))))))))</f>
        <v>809.33298304298603</v>
      </c>
      <c r="M30" s="1">
        <f>IF(G7="K.GT10",'G10'!B17,IF(G7="K.GK10",'G10'!B17,IF(G7="K.SK10",'S10'!B17,'S10'!B17)))</f>
        <v>540.21679982615751</v>
      </c>
    </row>
    <row r="31" spans="1:13">
      <c r="J31">
        <v>300</v>
      </c>
      <c r="K31" s="2">
        <v>4</v>
      </c>
    </row>
    <row r="32" spans="1:13">
      <c r="J32">
        <v>500</v>
      </c>
      <c r="K32" s="2"/>
    </row>
    <row r="33" spans="10:10">
      <c r="J33" s="2">
        <v>800</v>
      </c>
    </row>
    <row r="34" spans="10:10">
      <c r="J34" s="2">
        <v>1200</v>
      </c>
    </row>
  </sheetData>
  <phoneticPr fontId="0" type="noConversion"/>
  <pageMargins left="1.1599999999999999" right="0.53" top="0.984251969" bottom="0.984251969" header="0.4921259845" footer="0.4921259845"/>
  <pageSetup paperSize="9" orientation="portrait" r:id="rId1"/>
  <headerFooter alignWithMargins="0">
    <oddHeader>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Drop Down 2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4</xdr:col>
                    <xdr:colOff>666750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Drop Down 3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47625</xdr:rowOff>
                  </from>
                  <to>
                    <xdr:col>4</xdr:col>
                    <xdr:colOff>638175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Drop Down 5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47625</xdr:rowOff>
                  </from>
                  <to>
                    <xdr:col>4</xdr:col>
                    <xdr:colOff>657225</xdr:colOff>
                    <xdr:row>15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34"/>
  <sheetViews>
    <sheetView showGridLines="0" showOutlineSymbols="0" workbookViewId="0"/>
  </sheetViews>
  <sheetFormatPr defaultColWidth="11.42578125" defaultRowHeight="12.75"/>
  <cols>
    <col min="1" max="2" width="11.7109375" customWidth="1"/>
    <col min="3" max="3" width="5.7109375" customWidth="1"/>
    <col min="4" max="4" width="26.7109375" customWidth="1"/>
    <col min="5" max="5" width="12.7109375" customWidth="1"/>
    <col min="6" max="6" width="10.7109375" customWidth="1"/>
    <col min="7" max="7" width="15.7109375" customWidth="1"/>
    <col min="8" max="8" width="14.7109375" customWidth="1"/>
    <col min="9" max="9" width="10.5703125" hidden="1" customWidth="1"/>
    <col min="10" max="10" width="12.5703125" hidden="1" customWidth="1"/>
    <col min="11" max="11" width="16.85546875" hidden="1" customWidth="1"/>
    <col min="12" max="12" width="32.140625" customWidth="1"/>
  </cols>
  <sheetData>
    <row r="1" spans="2:12" ht="20.100000000000001" customHeight="1"/>
    <row r="2" spans="2:12" ht="20.100000000000001" customHeight="1"/>
    <row r="3" spans="2:12" ht="20.100000000000001" customHeight="1">
      <c r="B3" s="106" t="s">
        <v>136</v>
      </c>
      <c r="D3" s="73"/>
      <c r="E3" s="72"/>
      <c r="F3" s="72"/>
      <c r="G3" s="72"/>
    </row>
    <row r="4" spans="2:12" ht="20.100000000000001" customHeight="1">
      <c r="B4" s="106" t="s">
        <v>135</v>
      </c>
      <c r="D4" s="73"/>
      <c r="E4" s="72"/>
      <c r="F4" s="72"/>
      <c r="G4" s="72"/>
    </row>
    <row r="5" spans="2:12" ht="20.100000000000001" customHeight="1">
      <c r="B5" s="91"/>
      <c r="D5" s="73"/>
      <c r="E5" s="72"/>
      <c r="F5" s="72"/>
      <c r="G5" s="72"/>
    </row>
    <row r="6" spans="2:12" ht="20.100000000000001" customHeight="1">
      <c r="D6" s="90"/>
      <c r="E6" s="72"/>
      <c r="F6" s="72"/>
      <c r="G6" s="72"/>
    </row>
    <row r="7" spans="2:12" ht="20.100000000000001" customHeight="1">
      <c r="D7" s="94" t="s">
        <v>122</v>
      </c>
      <c r="E7" s="94"/>
      <c r="F7" s="94"/>
      <c r="G7" s="114" t="str">
        <f>INDEX(I7:I14,J7)</f>
        <v>K.S10</v>
      </c>
      <c r="I7" s="2" t="s">
        <v>65</v>
      </c>
      <c r="J7" s="2">
        <v>4</v>
      </c>
    </row>
    <row r="8" spans="2:12" ht="20.100000000000001" customHeight="1">
      <c r="D8" s="78"/>
      <c r="E8" s="78"/>
      <c r="F8" s="78"/>
      <c r="G8" s="80"/>
      <c r="I8" s="2"/>
      <c r="J8" s="2"/>
    </row>
    <row r="9" spans="2:12" ht="20.100000000000001" customHeight="1">
      <c r="D9" s="78" t="s">
        <v>137</v>
      </c>
      <c r="E9" s="78"/>
      <c r="F9" s="78"/>
      <c r="G9" s="92">
        <v>8</v>
      </c>
      <c r="I9" s="2" t="s">
        <v>66</v>
      </c>
      <c r="J9" s="2"/>
    </row>
    <row r="10" spans="2:12" ht="20.100000000000001" customHeight="1">
      <c r="D10" s="78" t="s">
        <v>123</v>
      </c>
      <c r="E10" s="78"/>
      <c r="F10" s="81" t="s">
        <v>67</v>
      </c>
      <c r="G10" s="82">
        <v>1.1000000000000001</v>
      </c>
      <c r="I10" s="2" t="s">
        <v>68</v>
      </c>
      <c r="J10" s="2"/>
    </row>
    <row r="11" spans="2:12" ht="20.100000000000001" customHeight="1">
      <c r="D11" s="94" t="s">
        <v>128</v>
      </c>
      <c r="E11" s="94"/>
      <c r="F11" s="96" t="s">
        <v>67</v>
      </c>
      <c r="G11" s="97">
        <v>0.57999999999999996</v>
      </c>
      <c r="I11" s="2" t="s">
        <v>70</v>
      </c>
      <c r="J11" s="2"/>
      <c r="L11" s="74" t="s">
        <v>121</v>
      </c>
    </row>
    <row r="12" spans="2:12" ht="20.100000000000001" customHeight="1">
      <c r="D12" s="78"/>
      <c r="E12" s="78"/>
      <c r="F12" s="81"/>
      <c r="G12" s="93"/>
      <c r="I12" s="2" t="s">
        <v>98</v>
      </c>
      <c r="J12" s="2"/>
    </row>
    <row r="13" spans="2:12" ht="20.100000000000001" customHeight="1">
      <c r="B13" s="3"/>
      <c r="D13" s="78" t="s">
        <v>147</v>
      </c>
      <c r="E13" s="78"/>
      <c r="F13" s="81" t="s">
        <v>113</v>
      </c>
      <c r="G13" s="92">
        <v>28</v>
      </c>
      <c r="I13" s="2" t="s">
        <v>95</v>
      </c>
      <c r="J13" s="2"/>
    </row>
    <row r="14" spans="2:12" ht="20.100000000000001" customHeight="1">
      <c r="D14" s="78" t="s">
        <v>148</v>
      </c>
      <c r="E14" s="78"/>
      <c r="F14" s="81"/>
      <c r="G14" s="78">
        <f>G13*G11*G10</f>
        <v>17.864000000000001</v>
      </c>
      <c r="I14" s="2" t="s">
        <v>97</v>
      </c>
      <c r="J14" s="2"/>
    </row>
    <row r="15" spans="2:12" ht="20.100000000000001" customHeight="1">
      <c r="D15" s="94" t="s">
        <v>149</v>
      </c>
      <c r="E15" s="94"/>
      <c r="F15" s="96" t="s">
        <v>114</v>
      </c>
      <c r="G15" s="103">
        <f>G14*G9</f>
        <v>142.91200000000001</v>
      </c>
      <c r="J15" s="2"/>
    </row>
    <row r="16" spans="2:12" ht="20.100000000000001" customHeight="1">
      <c r="D16" s="78"/>
      <c r="E16" s="78"/>
      <c r="F16" s="81"/>
      <c r="G16" s="80"/>
      <c r="I16" s="4"/>
      <c r="J16" s="2"/>
    </row>
    <row r="17" spans="3:11" ht="20.100000000000001" customHeight="1">
      <c r="D17" s="94" t="s">
        <v>125</v>
      </c>
      <c r="E17" s="94"/>
      <c r="F17" s="96"/>
      <c r="G17" s="98">
        <f>INDEX(I21:I24,J21)</f>
        <v>300</v>
      </c>
      <c r="I17" s="4"/>
      <c r="J17" s="2"/>
    </row>
    <row r="18" spans="3:11" ht="20.100000000000001" customHeight="1">
      <c r="D18" s="78"/>
      <c r="E18" s="78"/>
      <c r="F18" s="81"/>
      <c r="G18" s="84"/>
      <c r="I18" s="4"/>
      <c r="J18" s="2"/>
    </row>
    <row r="19" spans="3:11" ht="20.100000000000001" customHeight="1">
      <c r="D19" s="78" t="s">
        <v>130</v>
      </c>
      <c r="E19" s="78"/>
      <c r="F19" s="81" t="s">
        <v>77</v>
      </c>
      <c r="G19" s="86">
        <f>G9*K20+(G9+1)*(RFlex!C4)+(G9*2*RAnschluß!C4)</f>
        <v>56796.714670105968</v>
      </c>
      <c r="I19" s="4"/>
    </row>
    <row r="20" spans="3:11" ht="20.100000000000001" customHeight="1">
      <c r="C20" s="3"/>
      <c r="D20" s="108" t="s">
        <v>138</v>
      </c>
      <c r="E20" s="108"/>
      <c r="F20" s="109" t="s">
        <v>79</v>
      </c>
      <c r="G20" s="110">
        <f>G19/1000</f>
        <v>56.79671467010597</v>
      </c>
      <c r="I20" t="s">
        <v>80</v>
      </c>
      <c r="J20" t="s">
        <v>77</v>
      </c>
      <c r="K20" s="1">
        <f>IF(G7="K.U10",'RU10'!B17,IF(G7="K.UM10",'RU10'!B17,IF(G7="K.GM10",'RU10'!B17,IF(G7="K.G10",'RG10'!B17,IF(G7="K.GG10",'RU10'!B17,IF(G7="K.GT10",'RG10'!B17,'RS10'!B17))))))</f>
        <v>4803.3800892200743</v>
      </c>
    </row>
    <row r="21" spans="3:11" ht="20.100000000000001" customHeight="1">
      <c r="F21" s="1"/>
      <c r="I21">
        <v>300</v>
      </c>
      <c r="J21" s="2">
        <v>1</v>
      </c>
    </row>
    <row r="22" spans="3:11" ht="20.100000000000001" customHeight="1">
      <c r="I22">
        <v>500</v>
      </c>
      <c r="J22" s="2"/>
    </row>
    <row r="23" spans="3:11" ht="20.100000000000001" customHeight="1">
      <c r="I23" s="2">
        <v>800</v>
      </c>
    </row>
    <row r="24" spans="3:11" ht="20.100000000000001" customHeight="1">
      <c r="I24" s="2">
        <v>1200</v>
      </c>
    </row>
    <row r="25" spans="3:11">
      <c r="F25" s="35"/>
      <c r="K25" s="1"/>
    </row>
    <row r="26" spans="3:11">
      <c r="I26" s="2"/>
      <c r="J26" s="2"/>
    </row>
    <row r="27" spans="3:11">
      <c r="F27" s="36"/>
      <c r="I27" s="2"/>
      <c r="J27" s="2"/>
    </row>
    <row r="28" spans="3:11">
      <c r="F28" s="36"/>
    </row>
    <row r="30" spans="3:11">
      <c r="F30" s="36"/>
    </row>
    <row r="31" spans="3:11">
      <c r="F31" s="38"/>
    </row>
    <row r="32" spans="3:11">
      <c r="F32" s="39"/>
    </row>
    <row r="33" spans="6:6">
      <c r="F33" s="39"/>
    </row>
    <row r="34" spans="6:6">
      <c r="F34" s="37"/>
    </row>
  </sheetData>
  <phoneticPr fontId="0" type="noConversion"/>
  <pageMargins left="0.78740157499999996" right="0.69" top="0.984251969" bottom="0.984251969" header="0.4921259845" footer="0.4921259845"/>
  <pageSetup paperSize="9" orientation="portrait" r:id="rId1"/>
  <headerFooter alignWithMargins="0">
    <oddHeader>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Fill="0" autoLine="0" autoPict="0">
                <anchor moveWithCells="1">
                  <from>
                    <xdr:col>4</xdr:col>
                    <xdr:colOff>9525</xdr:colOff>
                    <xdr:row>6</xdr:row>
                    <xdr:rowOff>0</xdr:rowOff>
                  </from>
                  <to>
                    <xdr:col>4</xdr:col>
                    <xdr:colOff>676275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9525</xdr:rowOff>
                  </from>
                  <to>
                    <xdr:col>4</xdr:col>
                    <xdr:colOff>638175</xdr:colOff>
                    <xdr:row>16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E29" sqref="E29"/>
    </sheetView>
  </sheetViews>
  <sheetFormatPr defaultColWidth="11.42578125" defaultRowHeight="12.75"/>
  <cols>
    <col min="1" max="1" width="22.28515625" customWidth="1"/>
    <col min="2" max="2" width="11.5703125" bestFit="1" customWidth="1"/>
  </cols>
  <sheetData>
    <row r="1" spans="1:7">
      <c r="A1" t="s">
        <v>19</v>
      </c>
    </row>
    <row r="2" spans="1:7">
      <c r="A2" s="5" t="s">
        <v>20</v>
      </c>
      <c r="B2" s="6">
        <f>'Reihenschaltung ohne Schläuche'!G15</f>
        <v>224</v>
      </c>
    </row>
    <row r="3" spans="1:7">
      <c r="A3" s="5" t="s">
        <v>2</v>
      </c>
      <c r="B3" s="6">
        <f>'Reihenschaltung ohne Schläuche'!G10</f>
        <v>4</v>
      </c>
    </row>
    <row r="4" spans="1:7">
      <c r="A4" s="5" t="s">
        <v>3</v>
      </c>
      <c r="B4" s="6">
        <f>'Reihenschaltung ohne Schläuche'!G11</f>
        <v>1</v>
      </c>
    </row>
    <row r="5" spans="1:7">
      <c r="A5" s="7" t="s">
        <v>4</v>
      </c>
      <c r="B5" s="6">
        <v>2.2999999999999998</v>
      </c>
    </row>
    <row r="6" spans="1:7">
      <c r="A6" t="s">
        <v>5</v>
      </c>
      <c r="B6" s="8">
        <v>30</v>
      </c>
    </row>
    <row r="7" spans="1:7">
      <c r="A7" t="s">
        <v>6</v>
      </c>
      <c r="B7" s="9">
        <f>ROUND(B4/B6*1000,0)-1</f>
        <v>32</v>
      </c>
      <c r="C7" t="s">
        <v>7</v>
      </c>
    </row>
    <row r="8" spans="1:7">
      <c r="A8" s="7" t="s">
        <v>8</v>
      </c>
      <c r="B8" s="6">
        <v>16</v>
      </c>
    </row>
    <row r="9" spans="1:7">
      <c r="A9" s="7" t="s">
        <v>9</v>
      </c>
      <c r="B9" s="6">
        <v>0.04</v>
      </c>
    </row>
    <row r="11" spans="1:7">
      <c r="A11" t="s">
        <v>10</v>
      </c>
      <c r="E11" t="s">
        <v>11</v>
      </c>
    </row>
    <row r="12" spans="1:7">
      <c r="A12" s="10" t="s">
        <v>12</v>
      </c>
      <c r="B12" s="11">
        <f>B2/60/B7*21.22/B5^2</f>
        <v>0.46798991808443613</v>
      </c>
      <c r="C12" s="11">
        <f>0.3164*B13^-0.25</f>
        <v>5.523894704370997E-2</v>
      </c>
      <c r="E12" s="10" t="s">
        <v>12</v>
      </c>
      <c r="F12" s="11">
        <f>B2/60*21.22/B8^2</f>
        <v>0.30945833333333334</v>
      </c>
      <c r="G12" s="11">
        <f>0.3164*F13^-0.25</f>
        <v>3.7718632042541653E-2</v>
      </c>
    </row>
    <row r="13" spans="1:7">
      <c r="A13" s="10" t="s">
        <v>13</v>
      </c>
      <c r="B13" s="11">
        <f>B12*B5*10^3</f>
        <v>1076.376811594203</v>
      </c>
      <c r="C13" s="11">
        <f>64/B13</f>
        <v>5.9458731654773118E-2</v>
      </c>
      <c r="E13" s="10" t="s">
        <v>13</v>
      </c>
      <c r="F13" s="11">
        <f>F12*B8*10^3</f>
        <v>4951.333333333333</v>
      </c>
      <c r="G13" s="11">
        <f>64/F13</f>
        <v>1.2925811229298506E-2</v>
      </c>
    </row>
    <row r="14" spans="1:7">
      <c r="A14" s="12" t="s">
        <v>14</v>
      </c>
      <c r="B14" s="11">
        <f>IF(B13&gt;2300,C12,C13)</f>
        <v>5.9458731654773118E-2</v>
      </c>
      <c r="C14" s="11"/>
      <c r="E14" s="12" t="s">
        <v>14</v>
      </c>
      <c r="F14" s="11">
        <f>IF(F13&gt;2300,G12,G13)</f>
        <v>3.7718632042541653E-2</v>
      </c>
      <c r="G14" s="11"/>
    </row>
    <row r="15" spans="1:7">
      <c r="A15" s="12"/>
      <c r="B15" s="11"/>
      <c r="C15" s="11"/>
    </row>
    <row r="16" spans="1:7">
      <c r="A16" s="13" t="s">
        <v>15</v>
      </c>
      <c r="B16" s="11"/>
      <c r="C16" s="11"/>
    </row>
    <row r="17" spans="1:6">
      <c r="A17" s="5" t="s">
        <v>16</v>
      </c>
      <c r="B17" s="14">
        <f>((B14*B3*998.4*B12^2/(B5*10^-3*2))+(F14*B4/(B8*10^-3)+B9*B7)*F12^2*998.4/2)*2</f>
        <v>22959.068883046068</v>
      </c>
      <c r="E17" s="7"/>
    </row>
    <row r="18" spans="1:6">
      <c r="A18" t="s">
        <v>17</v>
      </c>
      <c r="B18" s="15">
        <f>(B14*B3*998.4*B12^2/(B5*10^-3*2))*2</f>
        <v>22611.29118320761</v>
      </c>
      <c r="E18" s="5"/>
      <c r="F18" s="15"/>
    </row>
    <row r="19" spans="1:6">
      <c r="B19" s="15"/>
    </row>
    <row r="20" spans="1:6">
      <c r="A20" t="s">
        <v>18</v>
      </c>
    </row>
    <row r="21" spans="1:6">
      <c r="A21" s="5" t="s">
        <v>16</v>
      </c>
      <c r="B21" s="14">
        <f>((10^-3*B3*B4*(B2/60/60))^2*8*998.4/PI()^2)*1/(B7*(SQRT((B5*10^-3)^5/(B9*B5*10^-3+B14*2*B3))))^2</f>
        <v>361873.10947942315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34"/>
  <sheetViews>
    <sheetView showGridLines="0" showOutlineSymbols="0" workbookViewId="0"/>
  </sheetViews>
  <sheetFormatPr defaultColWidth="11.42578125" defaultRowHeight="12.75"/>
  <cols>
    <col min="1" max="2" width="11.7109375" customWidth="1"/>
    <col min="3" max="3" width="5.7109375" customWidth="1"/>
    <col min="4" max="4" width="26.7109375" customWidth="1"/>
    <col min="5" max="5" width="12.7109375" customWidth="1"/>
    <col min="6" max="6" width="10.7109375" customWidth="1"/>
    <col min="7" max="7" width="15.7109375" customWidth="1"/>
    <col min="8" max="8" width="14.7109375" customWidth="1"/>
    <col min="9" max="9" width="8.42578125" hidden="1" customWidth="1"/>
    <col min="10" max="10" width="9.42578125" hidden="1" customWidth="1"/>
    <col min="11" max="11" width="7" hidden="1" customWidth="1"/>
    <col min="12" max="12" width="10.5703125" hidden="1" customWidth="1"/>
  </cols>
  <sheetData>
    <row r="1" spans="2:13" ht="20.100000000000001" customHeight="1"/>
    <row r="2" spans="2:13" ht="20.100000000000001" customHeight="1">
      <c r="D2" s="34"/>
    </row>
    <row r="3" spans="2:13" ht="20.100000000000001" customHeight="1">
      <c r="B3" s="106" t="s">
        <v>134</v>
      </c>
      <c r="D3" s="34"/>
    </row>
    <row r="4" spans="2:13" ht="20.100000000000001" customHeight="1">
      <c r="B4" s="106" t="s">
        <v>139</v>
      </c>
      <c r="D4" s="68"/>
      <c r="E4" s="25"/>
    </row>
    <row r="5" spans="2:13" ht="20.100000000000001" customHeight="1">
      <c r="B5" s="91"/>
      <c r="D5" s="68"/>
      <c r="E5" s="25"/>
    </row>
    <row r="6" spans="2:13" ht="20.100000000000001" customHeight="1"/>
    <row r="7" spans="2:13" ht="20.100000000000001" customHeight="1">
      <c r="D7" s="94" t="s">
        <v>122</v>
      </c>
      <c r="E7" s="94"/>
      <c r="F7" s="94"/>
      <c r="G7" s="114" t="str">
        <f>INDEX(I7:I13,J7)</f>
        <v>K.S10</v>
      </c>
      <c r="I7" s="2" t="s">
        <v>68</v>
      </c>
      <c r="J7" s="2">
        <v>1</v>
      </c>
    </row>
    <row r="8" spans="2:13" ht="20.100000000000001" customHeight="1">
      <c r="D8" s="78"/>
      <c r="E8" s="78"/>
      <c r="F8" s="78"/>
      <c r="G8" s="80"/>
      <c r="I8" s="2"/>
      <c r="J8" s="2"/>
    </row>
    <row r="9" spans="2:13" ht="20.100000000000001" customHeight="1">
      <c r="D9" s="78" t="s">
        <v>137</v>
      </c>
      <c r="E9" s="78"/>
      <c r="F9" s="78"/>
      <c r="G9" s="92">
        <v>2</v>
      </c>
      <c r="I9" s="2" t="s">
        <v>69</v>
      </c>
      <c r="J9" s="2"/>
    </row>
    <row r="10" spans="2:13" ht="20.100000000000001" customHeight="1">
      <c r="D10" s="78" t="s">
        <v>123</v>
      </c>
      <c r="E10" s="78"/>
      <c r="F10" s="81" t="s">
        <v>67</v>
      </c>
      <c r="G10" s="82">
        <v>4</v>
      </c>
      <c r="I10" s="2" t="s">
        <v>70</v>
      </c>
      <c r="J10" s="2"/>
    </row>
    <row r="11" spans="2:13" ht="20.100000000000001" customHeight="1">
      <c r="D11" s="94" t="s">
        <v>128</v>
      </c>
      <c r="E11" s="94"/>
      <c r="F11" s="96" t="s">
        <v>67</v>
      </c>
      <c r="G11" s="97">
        <v>1</v>
      </c>
      <c r="I11" s="2" t="s">
        <v>71</v>
      </c>
      <c r="J11" s="2"/>
      <c r="M11" s="74" t="s">
        <v>121</v>
      </c>
    </row>
    <row r="12" spans="2:13" ht="20.100000000000001" customHeight="1">
      <c r="D12" s="78"/>
      <c r="E12" s="78"/>
      <c r="F12" s="81"/>
      <c r="G12" s="93"/>
      <c r="I12" s="2" t="s">
        <v>96</v>
      </c>
      <c r="J12" s="2"/>
    </row>
    <row r="13" spans="2:13" ht="20.100000000000001" customHeight="1">
      <c r="D13" s="78" t="s">
        <v>147</v>
      </c>
      <c r="E13" s="78"/>
      <c r="F13" s="81" t="s">
        <v>113</v>
      </c>
      <c r="G13" s="82">
        <v>28</v>
      </c>
      <c r="I13" s="2" t="s">
        <v>99</v>
      </c>
      <c r="J13" s="2"/>
    </row>
    <row r="14" spans="2:13" ht="20.100000000000001" customHeight="1">
      <c r="D14" s="78" t="s">
        <v>148</v>
      </c>
      <c r="E14" s="78"/>
      <c r="F14" s="81"/>
      <c r="G14" s="85">
        <f>G13*G11*G10</f>
        <v>112</v>
      </c>
      <c r="I14" s="2"/>
      <c r="J14" s="2"/>
    </row>
    <row r="15" spans="2:13" ht="20.100000000000001" customHeight="1">
      <c r="D15" s="94" t="s">
        <v>149</v>
      </c>
      <c r="E15" s="94"/>
      <c r="F15" s="96" t="s">
        <v>114</v>
      </c>
      <c r="G15" s="103">
        <f>G14*G9</f>
        <v>224</v>
      </c>
      <c r="J15" s="2"/>
    </row>
    <row r="16" spans="2:13" ht="20.100000000000001" customHeight="1">
      <c r="D16" s="78"/>
      <c r="E16" s="78"/>
      <c r="F16" s="81"/>
      <c r="G16" s="79"/>
      <c r="J16" s="2"/>
    </row>
    <row r="17" spans="4:11" ht="20.100000000000001" customHeight="1">
      <c r="D17" s="78"/>
      <c r="E17" s="78"/>
      <c r="F17" s="81"/>
      <c r="G17" s="80"/>
      <c r="I17" s="4"/>
      <c r="J17" s="2"/>
    </row>
    <row r="18" spans="4:11" ht="20.100000000000001" customHeight="1">
      <c r="D18" s="78"/>
      <c r="E18" s="78"/>
      <c r="F18" s="81"/>
      <c r="G18" s="78"/>
      <c r="I18" s="4"/>
      <c r="J18" s="2"/>
    </row>
    <row r="19" spans="4:11" ht="20.100000000000001" customHeight="1">
      <c r="D19" s="94" t="s">
        <v>127</v>
      </c>
      <c r="E19" s="94"/>
      <c r="F19" s="96" t="s">
        <v>77</v>
      </c>
      <c r="G19" s="99">
        <f>G9*K20</f>
        <v>30966.326027228399</v>
      </c>
      <c r="I19" s="4"/>
    </row>
    <row r="20" spans="4:11" ht="20.100000000000001" customHeight="1">
      <c r="D20" s="108" t="s">
        <v>138</v>
      </c>
      <c r="E20" s="108"/>
      <c r="F20" s="109" t="s">
        <v>79</v>
      </c>
      <c r="G20" s="110">
        <f>G19/1000</f>
        <v>30.966326027228398</v>
      </c>
      <c r="K20" s="1">
        <f>IF(G7="K.S10",'RS10 (2)'!B17,IF(G7="K.SK10",'RS10 (2)'!B17,IF(G7="K.G10",'RG10 (2)'!B17,IF(G7="K.GK10",'RG10 (2)'!B17,IF(G7="K.G20",'RG20'!B17,'RS15'!B17)))))</f>
        <v>15483.163013614199</v>
      </c>
    </row>
    <row r="21" spans="4:11" ht="20.100000000000001" customHeight="1">
      <c r="F21" s="1"/>
      <c r="J21" s="2"/>
    </row>
    <row r="22" spans="4:11" ht="20.100000000000001" customHeight="1">
      <c r="J22" s="2"/>
    </row>
    <row r="23" spans="4:11" ht="20.100000000000001" customHeight="1">
      <c r="I23" s="2"/>
    </row>
    <row r="24" spans="4:11" ht="20.100000000000001" customHeight="1">
      <c r="I24" s="2"/>
    </row>
    <row r="25" spans="4:11">
      <c r="F25" s="35"/>
      <c r="K25" s="1"/>
    </row>
    <row r="26" spans="4:11">
      <c r="I26" s="2"/>
      <c r="J26" s="2"/>
    </row>
    <row r="27" spans="4:11">
      <c r="F27" s="36"/>
      <c r="I27" s="2"/>
      <c r="J27" s="2"/>
    </row>
    <row r="28" spans="4:11">
      <c r="F28" s="36"/>
    </row>
    <row r="30" spans="4:11">
      <c r="F30" s="36"/>
    </row>
    <row r="31" spans="4:11">
      <c r="F31" s="38"/>
    </row>
    <row r="32" spans="4:11">
      <c r="F32" s="39"/>
    </row>
    <row r="33" spans="6:6">
      <c r="F33" s="39"/>
    </row>
    <row r="34" spans="6:6">
      <c r="F34" s="37"/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Drop Down 1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238125</xdr:rowOff>
                  </from>
                  <to>
                    <xdr:col>4</xdr:col>
                    <xdr:colOff>666750</xdr:colOff>
                    <xdr:row>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53"/>
  <sheetViews>
    <sheetView showGridLines="0" showOutlineSymbols="0" workbookViewId="0"/>
  </sheetViews>
  <sheetFormatPr defaultColWidth="11.42578125" defaultRowHeight="12.75"/>
  <cols>
    <col min="1" max="2" width="11.7109375" customWidth="1"/>
    <col min="3" max="3" width="5.7109375" customWidth="1"/>
    <col min="4" max="4" width="26.7109375" customWidth="1"/>
    <col min="5" max="5" width="12.7109375" customWidth="1"/>
    <col min="6" max="6" width="10.7109375" style="1" customWidth="1"/>
    <col min="7" max="7" width="15.7109375" customWidth="1"/>
    <col min="8" max="8" width="14.7109375" customWidth="1"/>
    <col min="9" max="9" width="12" hidden="1" customWidth="1"/>
    <col min="10" max="10" width="8.140625" hidden="1" customWidth="1"/>
    <col min="11" max="11" width="8.42578125" hidden="1" customWidth="1"/>
    <col min="12" max="12" width="11" hidden="1" customWidth="1"/>
    <col min="13" max="13" width="8.42578125" hidden="1" customWidth="1"/>
    <col min="14" max="14" width="13.42578125" customWidth="1"/>
  </cols>
  <sheetData>
    <row r="1" spans="2:24" ht="20.100000000000001" customHeight="1"/>
    <row r="2" spans="2:24" ht="20.100000000000001" customHeight="1"/>
    <row r="3" spans="2:24" ht="20.100000000000001" customHeight="1">
      <c r="B3" s="106" t="s">
        <v>131</v>
      </c>
      <c r="C3" s="41"/>
      <c r="D3" s="41"/>
      <c r="E3" s="41"/>
      <c r="F3" s="5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2:24" ht="20.100000000000001" customHeight="1">
      <c r="C4" s="41"/>
      <c r="D4" s="43"/>
      <c r="E4" s="49"/>
      <c r="F4" s="50"/>
      <c r="G4" s="49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</row>
    <row r="5" spans="2:24" ht="20.100000000000001" customHeight="1">
      <c r="C5" s="41"/>
      <c r="D5" s="43"/>
      <c r="E5" s="49"/>
      <c r="F5" s="50"/>
      <c r="G5" s="49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</row>
    <row r="6" spans="2:24" s="25" customFormat="1" ht="20.100000000000001" customHeight="1">
      <c r="C6" s="51"/>
      <c r="D6" s="51"/>
      <c r="E6" s="51"/>
      <c r="F6" s="43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</row>
    <row r="7" spans="2:24" ht="20.100000000000001" customHeight="1">
      <c r="C7" s="41"/>
      <c r="D7" s="94" t="s">
        <v>122</v>
      </c>
      <c r="E7" s="95"/>
      <c r="F7" s="94"/>
      <c r="G7" s="114" t="str">
        <f>INDEX(J18:J23,L18)</f>
        <v>P.VS20</v>
      </c>
      <c r="H7" s="41"/>
      <c r="I7" s="41"/>
      <c r="J7" s="2" t="s">
        <v>101</v>
      </c>
      <c r="K7" s="2">
        <v>13.2</v>
      </c>
      <c r="L7" s="2">
        <v>1</v>
      </c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</row>
    <row r="8" spans="2:24" ht="20.100000000000001" customHeight="1">
      <c r="C8" s="41"/>
      <c r="D8" s="78"/>
      <c r="E8" s="79"/>
      <c r="F8" s="78"/>
      <c r="G8" s="79"/>
      <c r="H8" s="41"/>
      <c r="I8" s="41"/>
      <c r="J8" s="2" t="s">
        <v>102</v>
      </c>
      <c r="K8" s="2">
        <v>17.8</v>
      </c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</row>
    <row r="9" spans="2:24" ht="20.100000000000001" customHeight="1">
      <c r="C9" s="41"/>
      <c r="D9" s="78" t="s">
        <v>150</v>
      </c>
      <c r="E9" s="79"/>
      <c r="F9" s="81" t="s">
        <v>74</v>
      </c>
      <c r="G9" s="113" t="str">
        <f>INDEX(J7:J9,L7)</f>
        <v>20x3,4 - PN20</v>
      </c>
      <c r="H9" s="41"/>
      <c r="I9" s="41"/>
      <c r="J9" s="2" t="s">
        <v>103</v>
      </c>
      <c r="K9" s="2">
        <v>16</v>
      </c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</row>
    <row r="10" spans="2:24" ht="20.100000000000001" customHeight="1">
      <c r="C10" s="41"/>
      <c r="D10" s="78"/>
      <c r="E10" s="79"/>
      <c r="F10" s="78"/>
      <c r="G10" s="79"/>
      <c r="H10" s="41"/>
      <c r="I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</row>
    <row r="11" spans="2:24" ht="20.100000000000001" customHeight="1">
      <c r="C11" s="41"/>
      <c r="D11" s="78" t="s">
        <v>123</v>
      </c>
      <c r="E11" s="79"/>
      <c r="F11" s="81" t="s">
        <v>67</v>
      </c>
      <c r="G11" s="82">
        <v>2</v>
      </c>
      <c r="H11" s="41"/>
      <c r="I11" s="41"/>
      <c r="M11" s="41"/>
      <c r="N11" s="74" t="s">
        <v>121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</row>
    <row r="12" spans="2:24" ht="20.100000000000001" customHeight="1">
      <c r="C12" s="41"/>
      <c r="D12" s="94" t="s">
        <v>144</v>
      </c>
      <c r="E12" s="95"/>
      <c r="F12" s="96" t="s">
        <v>67</v>
      </c>
      <c r="G12" s="97">
        <v>1</v>
      </c>
      <c r="H12" s="41"/>
      <c r="I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</row>
    <row r="13" spans="2:24" ht="20.100000000000001" customHeight="1">
      <c r="C13" s="41"/>
      <c r="D13" s="78"/>
      <c r="E13" s="78"/>
      <c r="F13" s="78"/>
      <c r="G13" s="104"/>
      <c r="H13" s="41"/>
      <c r="I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</row>
    <row r="14" spans="2:24" ht="20.100000000000001" customHeight="1">
      <c r="C14" s="41"/>
      <c r="D14" s="78" t="s">
        <v>147</v>
      </c>
      <c r="E14" s="79"/>
      <c r="F14" s="81" t="s">
        <v>113</v>
      </c>
      <c r="G14" s="82">
        <v>40</v>
      </c>
      <c r="H14" s="41"/>
      <c r="I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</row>
    <row r="15" spans="2:24" ht="20.100000000000001" customHeight="1">
      <c r="C15" s="41"/>
      <c r="D15" s="94" t="s">
        <v>129</v>
      </c>
      <c r="E15" s="95"/>
      <c r="F15" s="96" t="s">
        <v>72</v>
      </c>
      <c r="G15" s="116">
        <f>G14*G12*G11</f>
        <v>80</v>
      </c>
      <c r="H15" s="41"/>
      <c r="I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spans="2:24" ht="20.100000000000001" customHeight="1">
      <c r="C16" s="41"/>
      <c r="D16" s="78"/>
      <c r="E16" s="79"/>
      <c r="F16" s="78"/>
      <c r="G16" s="78"/>
      <c r="H16" s="41"/>
      <c r="I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3:24" ht="20.100000000000001" customHeight="1">
      <c r="C17" s="41"/>
      <c r="D17" s="78"/>
      <c r="E17" s="79"/>
      <c r="F17" s="78"/>
      <c r="G17" s="80"/>
      <c r="H17" s="41"/>
      <c r="I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spans="3:24" ht="20.100000000000001" customHeight="1">
      <c r="C18" s="41"/>
      <c r="D18" s="78"/>
      <c r="E18" s="79"/>
      <c r="F18" s="78"/>
      <c r="G18" s="78"/>
      <c r="H18" s="41"/>
      <c r="I18" s="41"/>
      <c r="J18" s="53" t="s">
        <v>104</v>
      </c>
      <c r="K18" s="56">
        <f>P.VS20!B17</f>
        <v>2155.3501634508671</v>
      </c>
      <c r="L18" s="53">
        <v>1</v>
      </c>
      <c r="M18" s="55">
        <f>IF(G7=J18,K18,IF(G7=J19,K19,IF(G7=J20,K20,IF(G7=J21,K21,IF(G7=J22,K22,K23)))))</f>
        <v>2155.3501634508671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spans="3:24" ht="20.100000000000001" customHeight="1">
      <c r="C19" s="41"/>
      <c r="D19" s="94" t="s">
        <v>126</v>
      </c>
      <c r="E19" s="95"/>
      <c r="F19" s="96" t="s">
        <v>77</v>
      </c>
      <c r="G19" s="107">
        <f>M18</f>
        <v>2155.3501634508671</v>
      </c>
      <c r="H19" s="41"/>
      <c r="I19" s="41"/>
      <c r="J19" s="53" t="s">
        <v>105</v>
      </c>
      <c r="K19" s="56">
        <f>P.VS30!B17</f>
        <v>3211.9647935132084</v>
      </c>
      <c r="L19" s="41"/>
      <c r="M19" s="56">
        <f>IF(G7=J22,K22,IF(G7=J23,K23,IF(G7=J27,K27,IF(G7=J28,K28,K29))))</f>
        <v>0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3:24" ht="20.100000000000001" customHeight="1">
      <c r="C20" s="41"/>
      <c r="D20" s="78"/>
      <c r="E20" s="79"/>
      <c r="F20" s="81" t="s">
        <v>79</v>
      </c>
      <c r="G20" s="85">
        <f>M18/1000</f>
        <v>2.1553501634508669</v>
      </c>
      <c r="H20" s="41"/>
      <c r="I20" s="41"/>
      <c r="J20" s="53" t="s">
        <v>106</v>
      </c>
      <c r="K20" s="54">
        <f>P.NS15!B17</f>
        <v>7095.7127345707049</v>
      </c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3:24" ht="20.100000000000001" customHeight="1">
      <c r="C21" s="41"/>
      <c r="D21" s="30"/>
      <c r="E21" s="30"/>
      <c r="F21" s="30"/>
      <c r="G21" s="30"/>
      <c r="H21" s="41"/>
      <c r="I21" s="41"/>
      <c r="J21" s="53" t="s">
        <v>107</v>
      </c>
      <c r="K21" s="56">
        <f>P.VG10!B17</f>
        <v>316.80474201172501</v>
      </c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3:24" ht="20.100000000000001" customHeight="1">
      <c r="C22" s="41"/>
      <c r="D22" s="30"/>
      <c r="E22" s="44"/>
      <c r="F22" s="52"/>
      <c r="G22" s="58"/>
      <c r="H22" s="41"/>
      <c r="I22" s="41"/>
      <c r="J22" s="53" t="s">
        <v>108</v>
      </c>
      <c r="K22" s="56">
        <f>P.VG20!B17</f>
        <v>557.79193544974237</v>
      </c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3:24" ht="20.100000000000001" customHeight="1">
      <c r="C23" s="41"/>
      <c r="D23" s="59"/>
      <c r="E23" s="44"/>
      <c r="F23" s="52"/>
      <c r="G23" s="57"/>
      <c r="H23" s="41"/>
      <c r="I23" s="41"/>
      <c r="J23" s="53" t="s">
        <v>109</v>
      </c>
      <c r="K23" s="56">
        <f>P.VG30!B17</f>
        <v>815.6274663987183</v>
      </c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3:24" ht="20.100000000000001" customHeight="1">
      <c r="C24" s="41"/>
      <c r="D24" s="44"/>
      <c r="E24" s="44"/>
      <c r="F24" s="30"/>
      <c r="G24" s="44"/>
      <c r="H24" s="41"/>
      <c r="I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3:24">
      <c r="C25" s="41"/>
      <c r="D25" s="44"/>
      <c r="E25" s="44"/>
      <c r="F25" s="30"/>
      <c r="G25" s="44"/>
      <c r="H25" s="41"/>
      <c r="I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3:24" ht="15.75">
      <c r="C26" s="41"/>
      <c r="D26" s="60"/>
      <c r="E26" s="44"/>
      <c r="F26" s="61"/>
      <c r="G26" s="44"/>
      <c r="H26" s="41"/>
      <c r="I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3:24">
      <c r="C27" s="41"/>
      <c r="D27" s="44"/>
      <c r="E27" s="44"/>
      <c r="F27" s="30"/>
      <c r="G27" s="44"/>
      <c r="H27" s="41"/>
      <c r="I27" s="41"/>
      <c r="J27" s="53"/>
      <c r="K27" s="56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3:24">
      <c r="C28" s="41"/>
      <c r="D28" s="44"/>
      <c r="E28" s="44"/>
      <c r="F28" s="30"/>
      <c r="G28" s="44"/>
      <c r="H28" s="41"/>
      <c r="I28" s="41"/>
      <c r="J28" s="53"/>
      <c r="K28" s="56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3:24">
      <c r="C29" s="41"/>
      <c r="D29" s="44"/>
      <c r="E29" s="44"/>
      <c r="F29" s="30"/>
      <c r="G29" s="44"/>
      <c r="H29" s="41"/>
      <c r="I29" s="41"/>
      <c r="J29" s="53"/>
      <c r="K29" s="56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3:24">
      <c r="C30" s="41"/>
      <c r="D30" s="44"/>
      <c r="E30" s="44"/>
      <c r="F30" s="30"/>
      <c r="G30" s="44"/>
      <c r="H30" s="41"/>
      <c r="I30" s="41"/>
      <c r="L30" s="5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3:24">
      <c r="C31" s="41"/>
      <c r="D31" s="41"/>
      <c r="E31" s="41"/>
      <c r="F31" s="5"/>
      <c r="G31" s="41"/>
      <c r="H31" s="41"/>
      <c r="I31" s="41"/>
      <c r="J31" s="53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3:24">
      <c r="C32" s="41"/>
      <c r="D32" s="41"/>
      <c r="E32" s="41"/>
      <c r="F32" s="5"/>
      <c r="G32" s="41"/>
      <c r="H32" s="41"/>
      <c r="I32" s="41"/>
      <c r="J32" s="53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</row>
    <row r="33" spans="3:24">
      <c r="C33" s="41"/>
      <c r="D33" s="41"/>
      <c r="E33" s="41"/>
      <c r="F33" s="5"/>
      <c r="G33" s="41"/>
      <c r="H33" s="41"/>
      <c r="I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</row>
    <row r="34" spans="3:24">
      <c r="C34" s="41"/>
      <c r="D34" s="41"/>
      <c r="E34" s="41"/>
      <c r="F34" s="5"/>
      <c r="G34" s="41"/>
      <c r="H34" s="41"/>
      <c r="I34" s="41"/>
      <c r="J34" s="53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</row>
    <row r="35" spans="3:24">
      <c r="C35" s="41"/>
      <c r="D35" s="41"/>
      <c r="E35" s="41"/>
      <c r="F35" s="5"/>
      <c r="G35" s="41"/>
      <c r="H35" s="41"/>
      <c r="I35" s="41"/>
      <c r="J35" s="53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3:24">
      <c r="C36" s="41"/>
      <c r="D36" s="41"/>
      <c r="E36" s="41"/>
      <c r="F36" s="5"/>
      <c r="G36" s="41"/>
      <c r="H36" s="41"/>
      <c r="I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</row>
    <row r="37" spans="3:24">
      <c r="C37" s="62"/>
      <c r="D37" s="53"/>
      <c r="E37" s="41"/>
      <c r="F37" s="5"/>
      <c r="G37" s="41"/>
      <c r="H37" s="41"/>
      <c r="I37" s="41"/>
      <c r="J37" s="53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</row>
    <row r="38" spans="3:24">
      <c r="C38" s="62"/>
      <c r="D38" s="53"/>
      <c r="E38" s="41"/>
      <c r="F38" s="5"/>
      <c r="G38" s="41"/>
      <c r="H38" s="41"/>
      <c r="I38" s="41"/>
      <c r="J38" s="53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</row>
    <row r="39" spans="3:24">
      <c r="C39" s="62"/>
      <c r="D39" s="53"/>
      <c r="E39" s="41"/>
      <c r="F39" s="5"/>
      <c r="G39" s="41"/>
      <c r="H39" s="41"/>
      <c r="I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</row>
    <row r="40" spans="3:24">
      <c r="C40" s="62"/>
      <c r="D40" s="41"/>
      <c r="E40" s="41"/>
      <c r="F40" s="5"/>
      <c r="G40" s="41"/>
      <c r="H40" s="41"/>
      <c r="I40" s="41"/>
      <c r="J40" s="53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</row>
    <row r="41" spans="3:24">
      <c r="C41" s="41"/>
      <c r="D41" s="41"/>
      <c r="E41" s="41"/>
      <c r="F41" s="5"/>
      <c r="G41" s="41"/>
      <c r="H41" s="41"/>
      <c r="I41" s="41"/>
      <c r="J41" s="53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</row>
    <row r="42" spans="3:24">
      <c r="C42" s="41"/>
      <c r="D42" s="53"/>
      <c r="E42" s="41"/>
      <c r="F42" s="5"/>
      <c r="G42" s="41"/>
      <c r="H42" s="41"/>
      <c r="I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</row>
    <row r="43" spans="3:24">
      <c r="C43" s="41"/>
      <c r="D43" s="53"/>
      <c r="E43" s="41"/>
      <c r="F43" s="5"/>
      <c r="G43" s="41"/>
      <c r="H43" s="41"/>
      <c r="I43" s="41"/>
      <c r="J43" s="53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</row>
    <row r="44" spans="3:24">
      <c r="C44" s="53"/>
      <c r="D44" s="41"/>
      <c r="E44" s="41"/>
      <c r="F44" s="5"/>
      <c r="G44" s="41"/>
      <c r="H44" s="41"/>
      <c r="I44" s="41"/>
      <c r="J44" s="53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</row>
    <row r="45" spans="3:24">
      <c r="C45" s="53"/>
      <c r="D45" s="41"/>
      <c r="E45" s="41"/>
      <c r="F45" s="5"/>
      <c r="G45" s="41"/>
      <c r="H45" s="41"/>
      <c r="I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</row>
    <row r="46" spans="3:24">
      <c r="C46" s="41"/>
      <c r="D46" s="41"/>
      <c r="E46" s="41"/>
      <c r="F46" s="5"/>
      <c r="G46" s="41"/>
      <c r="H46" s="41"/>
      <c r="I46" s="41"/>
      <c r="J46" s="53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</row>
    <row r="47" spans="3:24">
      <c r="C47" s="41"/>
      <c r="D47" s="41"/>
      <c r="E47" s="41"/>
      <c r="F47" s="5"/>
      <c r="G47" s="41"/>
      <c r="H47" s="41"/>
      <c r="I47" s="41"/>
      <c r="J47" s="53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</row>
    <row r="48" spans="3:24">
      <c r="C48" s="41"/>
      <c r="D48" s="41"/>
      <c r="E48" s="41"/>
      <c r="F48" s="5"/>
      <c r="G48" s="41"/>
      <c r="H48" s="41"/>
      <c r="I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</row>
    <row r="49" spans="3:24">
      <c r="C49" s="41"/>
      <c r="D49" s="41"/>
      <c r="E49" s="41"/>
      <c r="F49" s="5"/>
      <c r="G49" s="41"/>
      <c r="H49" s="41"/>
      <c r="I49" s="41"/>
      <c r="J49" s="53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</row>
    <row r="50" spans="3:24">
      <c r="C50" s="41"/>
      <c r="D50" s="41"/>
      <c r="E50" s="41"/>
      <c r="F50" s="5"/>
      <c r="G50" s="41"/>
      <c r="H50" s="41"/>
      <c r="I50" s="41"/>
      <c r="J50" s="53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</row>
    <row r="51" spans="3:24">
      <c r="C51" s="41"/>
      <c r="D51" s="41"/>
      <c r="E51" s="41"/>
      <c r="F51" s="5"/>
      <c r="G51" s="41"/>
      <c r="H51" s="41"/>
      <c r="I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</row>
    <row r="52" spans="3:24">
      <c r="C52" s="41"/>
      <c r="D52" s="41"/>
      <c r="E52" s="41"/>
      <c r="F52" s="5"/>
      <c r="G52" s="41"/>
      <c r="H52" s="41"/>
      <c r="I52" s="41"/>
      <c r="J52" s="53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</row>
    <row r="53" spans="3:24">
      <c r="J53" s="53"/>
      <c r="K53" s="41"/>
      <c r="L53" s="41"/>
    </row>
  </sheetData>
  <phoneticPr fontId="0" type="noConversion"/>
  <pageMargins left="1.41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Drop Down 1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85725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5" name="Drop Down 14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5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58"/>
  <sheetViews>
    <sheetView showGridLines="0" showOutlineSymbols="0" workbookViewId="0"/>
  </sheetViews>
  <sheetFormatPr defaultColWidth="11.42578125" defaultRowHeight="12.75"/>
  <cols>
    <col min="1" max="2" width="11.7109375" customWidth="1"/>
    <col min="3" max="3" width="5.7109375" customWidth="1"/>
    <col min="4" max="4" width="26.7109375" customWidth="1"/>
    <col min="5" max="5" width="12.7109375" customWidth="1"/>
    <col min="6" max="6" width="10.7109375" customWidth="1"/>
    <col min="7" max="7" width="15.7109375" customWidth="1"/>
    <col min="8" max="8" width="14.7109375" customWidth="1"/>
    <col min="10" max="10" width="11.42578125" hidden="1" customWidth="1"/>
    <col min="11" max="12" width="11.42578125" customWidth="1"/>
  </cols>
  <sheetData>
    <row r="1" spans="2:24" ht="20.100000000000001" customHeight="1">
      <c r="F1" s="1"/>
    </row>
    <row r="2" spans="2:24" ht="20.100000000000001" customHeight="1"/>
    <row r="3" spans="2:24" ht="20.100000000000001" customHeight="1">
      <c r="B3" s="106" t="s">
        <v>132</v>
      </c>
      <c r="C3" s="41"/>
      <c r="D3" s="41"/>
      <c r="E3" s="41"/>
      <c r="F3" s="5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2:24" ht="20.100000000000001" customHeight="1">
      <c r="C4" s="41"/>
      <c r="D4" s="43"/>
      <c r="E4" s="49"/>
      <c r="F4" s="50"/>
      <c r="G4" s="49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</row>
    <row r="5" spans="2:24" ht="20.100000000000001" customHeight="1">
      <c r="C5" s="51"/>
      <c r="D5" s="51"/>
      <c r="E5" s="51"/>
      <c r="F5" s="43"/>
      <c r="G5" s="51"/>
      <c r="H5" s="51"/>
      <c r="I5" s="51"/>
      <c r="J5" s="53">
        <v>1000</v>
      </c>
      <c r="K5" s="117">
        <v>300</v>
      </c>
      <c r="L5" s="118">
        <v>23</v>
      </c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2:24" ht="20.100000000000001" customHeight="1">
      <c r="C6" s="41"/>
      <c r="D6" s="30"/>
      <c r="E6" s="44"/>
      <c r="F6" s="30"/>
      <c r="G6" s="44"/>
      <c r="H6" s="41"/>
      <c r="I6" s="41"/>
      <c r="J6" s="53">
        <v>1200</v>
      </c>
      <c r="K6" s="117">
        <v>600</v>
      </c>
      <c r="L6" s="119">
        <f>INDEX(J5:J32,L5)</f>
        <v>5000</v>
      </c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r="7" spans="2:24" ht="20.100000000000001" customHeight="1">
      <c r="C7" s="41"/>
      <c r="D7" s="78" t="s">
        <v>123</v>
      </c>
      <c r="E7" s="79"/>
      <c r="F7" s="81" t="s">
        <v>74</v>
      </c>
      <c r="G7" s="111">
        <f>L6</f>
        <v>5000</v>
      </c>
      <c r="H7" s="41"/>
      <c r="I7" s="41"/>
      <c r="J7" s="53">
        <v>1400</v>
      </c>
      <c r="K7" s="117"/>
      <c r="L7" s="118">
        <v>1</v>
      </c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</row>
    <row r="8" spans="2:24" ht="20.100000000000001" customHeight="1">
      <c r="C8" s="41"/>
      <c r="D8" s="78"/>
      <c r="E8" s="79"/>
      <c r="F8" s="81"/>
      <c r="G8" s="111"/>
      <c r="H8" s="41"/>
      <c r="I8" s="41"/>
      <c r="J8" s="53">
        <v>1600</v>
      </c>
      <c r="K8" s="117"/>
      <c r="L8" s="119">
        <f>INDEX(K5:K6,L7)</f>
        <v>300</v>
      </c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</row>
    <row r="9" spans="2:24" ht="20.100000000000001" customHeight="1">
      <c r="C9" s="41"/>
      <c r="D9" s="94" t="s">
        <v>128</v>
      </c>
      <c r="E9" s="95"/>
      <c r="F9" s="96" t="s">
        <v>74</v>
      </c>
      <c r="G9" s="112">
        <f>L8</f>
        <v>300</v>
      </c>
      <c r="H9" s="41"/>
      <c r="I9" s="41"/>
      <c r="J9" s="53">
        <v>1800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</row>
    <row r="10" spans="2:24" ht="20.100000000000001" customHeight="1">
      <c r="C10" s="41"/>
      <c r="D10" s="78"/>
      <c r="E10" s="78"/>
      <c r="F10" s="78"/>
      <c r="G10" s="104"/>
      <c r="H10" s="41"/>
      <c r="J10" s="53">
        <v>2000</v>
      </c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</row>
    <row r="11" spans="2:24" ht="20.100000000000001" customHeight="1">
      <c r="C11" s="41"/>
      <c r="D11" s="78" t="s">
        <v>147</v>
      </c>
      <c r="E11" s="79"/>
      <c r="F11" s="81" t="s">
        <v>113</v>
      </c>
      <c r="G11" s="82">
        <v>35</v>
      </c>
      <c r="H11" s="41"/>
      <c r="I11" s="74" t="s">
        <v>121</v>
      </c>
      <c r="J11" s="53">
        <v>2200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</row>
    <row r="12" spans="2:24" ht="20.100000000000001" customHeight="1">
      <c r="C12" s="41"/>
      <c r="D12" s="94" t="s">
        <v>129</v>
      </c>
      <c r="E12" s="95"/>
      <c r="F12" s="96" t="s">
        <v>72</v>
      </c>
      <c r="G12" s="94">
        <f>G11*G9/1000*G7/1000</f>
        <v>52.5</v>
      </c>
      <c r="H12" s="41"/>
      <c r="I12" s="41"/>
      <c r="J12" s="53">
        <v>2400</v>
      </c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</row>
    <row r="13" spans="2:24" ht="20.100000000000001" customHeight="1">
      <c r="C13" s="41"/>
      <c r="D13" s="78"/>
      <c r="E13" s="79"/>
      <c r="F13" s="78"/>
      <c r="G13" s="78"/>
      <c r="H13" s="41"/>
      <c r="I13" s="41"/>
      <c r="J13" s="53">
        <v>2600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</row>
    <row r="14" spans="2:24" ht="20.100000000000001" customHeight="1">
      <c r="C14" s="41"/>
      <c r="D14" s="78"/>
      <c r="E14" s="79"/>
      <c r="F14" s="78"/>
      <c r="G14" s="80"/>
      <c r="H14" s="41"/>
      <c r="I14" s="41"/>
      <c r="J14" s="53">
        <v>2800</v>
      </c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</row>
    <row r="15" spans="2:24" ht="20.100000000000001" customHeight="1">
      <c r="C15" s="41"/>
      <c r="D15" s="78"/>
      <c r="E15" s="79"/>
      <c r="F15" s="78"/>
      <c r="G15" s="80"/>
      <c r="H15" s="41"/>
      <c r="I15" s="41"/>
      <c r="J15" s="53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spans="2:24" ht="20.100000000000001" customHeight="1">
      <c r="C16" s="41"/>
      <c r="D16" s="78"/>
      <c r="E16" s="79"/>
      <c r="F16" s="78"/>
      <c r="G16" s="80"/>
      <c r="H16" s="41"/>
      <c r="I16" s="41"/>
      <c r="J16" s="53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2:24" ht="20.100000000000001" customHeight="1">
      <c r="C17" s="41"/>
      <c r="D17" s="78"/>
      <c r="E17" s="79"/>
      <c r="F17" s="81"/>
      <c r="G17" s="84"/>
      <c r="H17" s="5"/>
      <c r="I17" s="41"/>
      <c r="J17" s="53">
        <v>3000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spans="2:24" ht="20.100000000000001" customHeight="1">
      <c r="C18" s="41"/>
      <c r="D18" s="78"/>
      <c r="E18" s="79"/>
      <c r="F18" s="78"/>
      <c r="G18" s="78"/>
      <c r="H18" s="41"/>
      <c r="I18" s="41"/>
      <c r="J18" s="53">
        <v>3200</v>
      </c>
      <c r="L18" s="41"/>
      <c r="M18" s="55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spans="2:24" ht="20.100000000000001" customHeight="1">
      <c r="C19" s="41"/>
      <c r="D19" s="94" t="s">
        <v>126</v>
      </c>
      <c r="E19" s="95"/>
      <c r="F19" s="96" t="s">
        <v>77</v>
      </c>
      <c r="G19" s="107">
        <f>P.FS20_1!B23</f>
        <v>13983.029273116928</v>
      </c>
      <c r="H19" s="41"/>
      <c r="I19" s="41"/>
      <c r="J19" s="53">
        <v>3400</v>
      </c>
      <c r="K19" s="41"/>
      <c r="L19" s="41"/>
      <c r="M19" s="56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2:24" ht="20.100000000000001" customHeight="1">
      <c r="C20" s="41"/>
      <c r="D20" s="78"/>
      <c r="E20" s="79"/>
      <c r="F20" s="81" t="s">
        <v>79</v>
      </c>
      <c r="G20" s="85">
        <f>G19/1000</f>
        <v>13.983029273116928</v>
      </c>
      <c r="H20" s="41"/>
      <c r="I20" s="41"/>
      <c r="J20" s="53">
        <v>3600</v>
      </c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ht="20.100000000000001" customHeight="1">
      <c r="C21" s="41"/>
      <c r="D21" s="30"/>
      <c r="E21" s="30"/>
      <c r="F21" s="30"/>
      <c r="G21" s="30"/>
      <c r="H21" s="41"/>
      <c r="I21" s="41"/>
      <c r="J21" s="53">
        <v>3800</v>
      </c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ht="20.100000000000001" customHeight="1">
      <c r="B22" s="3"/>
      <c r="C22" s="41"/>
      <c r="D22" s="30"/>
      <c r="E22" s="44"/>
      <c r="F22" s="52"/>
      <c r="G22" s="58"/>
      <c r="H22" s="41"/>
      <c r="I22" s="41"/>
      <c r="J22" s="53">
        <v>4000</v>
      </c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ht="20.100000000000001" customHeight="1">
      <c r="C23" s="41"/>
      <c r="D23" s="69"/>
      <c r="E23" s="44"/>
      <c r="F23" s="52"/>
      <c r="G23" s="57"/>
      <c r="H23" s="41"/>
      <c r="I23" s="41"/>
      <c r="J23" s="53">
        <v>4200</v>
      </c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ht="20.100000000000001" customHeight="1">
      <c r="C24" s="41"/>
      <c r="D24" s="44"/>
      <c r="E24" s="44"/>
      <c r="F24" s="30"/>
      <c r="G24" s="44"/>
      <c r="H24" s="41"/>
      <c r="I24" s="41"/>
      <c r="J24" s="53">
        <v>4400</v>
      </c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>
      <c r="C25" s="41"/>
      <c r="D25" s="44"/>
      <c r="E25" s="44"/>
      <c r="F25" s="30"/>
      <c r="G25" s="44"/>
      <c r="H25" s="41"/>
      <c r="I25" s="41"/>
      <c r="J25" s="53">
        <v>4600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ht="15.75">
      <c r="C26" s="41"/>
      <c r="D26" s="70"/>
      <c r="E26" s="44"/>
      <c r="F26" s="71"/>
      <c r="G26" s="44"/>
      <c r="H26" s="41"/>
      <c r="I26" s="41"/>
      <c r="J26" s="53">
        <v>4800</v>
      </c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>
      <c r="C27" s="41"/>
      <c r="D27" s="44"/>
      <c r="E27" s="44"/>
      <c r="F27" s="30"/>
      <c r="G27" s="44"/>
      <c r="H27" s="41"/>
      <c r="I27" s="41"/>
      <c r="J27" s="53">
        <v>5000</v>
      </c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>
      <c r="C28" s="41"/>
      <c r="D28" s="44"/>
      <c r="E28" s="44"/>
      <c r="F28" s="30"/>
      <c r="G28" s="44"/>
      <c r="H28" s="41"/>
      <c r="I28" s="41"/>
      <c r="J28" s="53">
        <v>5200</v>
      </c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>
      <c r="C29" s="41"/>
      <c r="D29" s="44"/>
      <c r="E29" s="44"/>
      <c r="F29" s="30"/>
      <c r="G29" s="44"/>
      <c r="H29" s="41"/>
      <c r="I29" s="41"/>
      <c r="J29" s="53">
        <v>5400</v>
      </c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>
      <c r="C30" s="41"/>
      <c r="D30" s="44"/>
      <c r="E30" s="44"/>
      <c r="F30" s="30"/>
      <c r="G30" s="44"/>
      <c r="H30" s="41"/>
      <c r="I30" s="41"/>
      <c r="J30" s="53">
        <v>5600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>
      <c r="C31" s="41"/>
      <c r="D31" s="41"/>
      <c r="E31" s="41"/>
      <c r="F31" s="5"/>
      <c r="G31" s="41"/>
      <c r="H31" s="41"/>
      <c r="I31" s="41"/>
      <c r="J31" s="53">
        <v>5800</v>
      </c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>
      <c r="C32" s="41"/>
      <c r="D32" s="41"/>
      <c r="E32" s="41"/>
      <c r="F32" s="5"/>
      <c r="G32" s="41"/>
      <c r="H32" s="41"/>
      <c r="I32" s="41"/>
      <c r="J32" s="53">
        <v>6000</v>
      </c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</row>
    <row r="33" spans="3:24">
      <c r="C33" s="41"/>
      <c r="D33" s="41"/>
      <c r="E33" s="41"/>
      <c r="F33" s="5"/>
      <c r="G33" s="41"/>
      <c r="H33" s="41"/>
      <c r="I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</row>
    <row r="34" spans="3:24">
      <c r="C34" s="41"/>
      <c r="D34" s="41"/>
      <c r="E34" s="41"/>
      <c r="F34" s="5"/>
      <c r="G34" s="41"/>
      <c r="H34" s="41"/>
      <c r="I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</row>
    <row r="35" spans="3:24">
      <c r="C35" s="41"/>
      <c r="D35" s="41"/>
      <c r="E35" s="41"/>
      <c r="F35" s="5"/>
      <c r="G35" s="41"/>
      <c r="H35" s="41"/>
      <c r="I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3:24">
      <c r="C36" s="41"/>
      <c r="D36" s="41"/>
      <c r="E36" s="41"/>
      <c r="F36" s="5"/>
      <c r="G36" s="41"/>
      <c r="H36" s="41"/>
      <c r="I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</row>
    <row r="37" spans="3:24">
      <c r="C37" s="62"/>
      <c r="D37" s="53"/>
      <c r="E37" s="41"/>
      <c r="F37" s="5"/>
      <c r="G37" s="41"/>
      <c r="H37" s="41"/>
      <c r="I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</row>
    <row r="38" spans="3:24">
      <c r="C38" s="62"/>
      <c r="D38" s="53"/>
      <c r="E38" s="41"/>
      <c r="F38" s="5"/>
      <c r="G38" s="41"/>
      <c r="H38" s="41"/>
      <c r="I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</row>
    <row r="39" spans="3:24">
      <c r="C39" s="62"/>
      <c r="D39" s="53"/>
      <c r="E39" s="41"/>
      <c r="F39" s="5"/>
      <c r="G39" s="41"/>
      <c r="H39" s="41"/>
      <c r="I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</row>
    <row r="40" spans="3:24">
      <c r="C40" s="62"/>
      <c r="D40" s="41"/>
      <c r="E40" s="41"/>
      <c r="F40" s="5"/>
      <c r="G40" s="41"/>
      <c r="H40" s="41"/>
      <c r="I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</row>
    <row r="41" spans="3:24">
      <c r="C41" s="41"/>
      <c r="D41" s="41"/>
      <c r="E41" s="41"/>
      <c r="F41" s="5"/>
      <c r="G41" s="41"/>
      <c r="H41" s="41"/>
      <c r="I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</row>
    <row r="42" spans="3:24">
      <c r="C42" s="41"/>
      <c r="D42" s="53"/>
      <c r="E42" s="41"/>
      <c r="F42" s="5"/>
      <c r="G42" s="41"/>
      <c r="H42" s="41"/>
      <c r="I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</row>
    <row r="43" spans="3:24">
      <c r="C43" s="41"/>
      <c r="D43" s="53"/>
      <c r="E43" s="41"/>
      <c r="F43" s="5"/>
      <c r="G43" s="41"/>
      <c r="H43" s="41"/>
      <c r="I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</row>
    <row r="44" spans="3:24">
      <c r="C44" s="53"/>
      <c r="D44" s="41"/>
      <c r="E44" s="41"/>
      <c r="F44" s="5"/>
      <c r="G44" s="41"/>
      <c r="H44" s="41"/>
      <c r="I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</row>
    <row r="45" spans="3:24">
      <c r="C45" s="53"/>
      <c r="D45" s="41"/>
      <c r="E45" s="41"/>
      <c r="F45" s="5"/>
      <c r="G45" s="41"/>
      <c r="H45" s="41"/>
      <c r="I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</row>
    <row r="46" spans="3:24">
      <c r="C46" s="41"/>
      <c r="D46" s="41"/>
      <c r="E46" s="41"/>
      <c r="F46" s="5"/>
      <c r="G46" s="41"/>
      <c r="H46" s="41"/>
      <c r="I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</row>
    <row r="47" spans="3:24">
      <c r="C47" s="41"/>
      <c r="D47" s="41"/>
      <c r="E47" s="41"/>
      <c r="F47" s="5"/>
      <c r="G47" s="41"/>
      <c r="H47" s="41"/>
      <c r="I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</row>
    <row r="48" spans="3:24">
      <c r="C48" s="41"/>
      <c r="D48" s="41"/>
      <c r="E48" s="41"/>
      <c r="F48" s="5"/>
      <c r="G48" s="41"/>
      <c r="H48" s="41"/>
      <c r="I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</row>
    <row r="49" spans="3:24">
      <c r="C49" s="41"/>
      <c r="D49" s="41"/>
      <c r="E49" s="41"/>
      <c r="F49" s="5"/>
      <c r="G49" s="41"/>
      <c r="H49" s="41"/>
      <c r="I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</row>
    <row r="50" spans="3:24">
      <c r="C50" s="41"/>
      <c r="D50" s="41"/>
      <c r="E50" s="41"/>
      <c r="F50" s="5"/>
      <c r="G50" s="41"/>
      <c r="H50" s="41"/>
      <c r="I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</row>
    <row r="51" spans="3:24">
      <c r="C51" s="41"/>
      <c r="D51" s="41"/>
      <c r="E51" s="41"/>
      <c r="F51" s="5"/>
      <c r="G51" s="41"/>
      <c r="H51" s="41"/>
      <c r="I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</row>
    <row r="52" spans="3:24">
      <c r="C52" s="41"/>
      <c r="D52" s="41"/>
      <c r="E52" s="41"/>
      <c r="F52" s="5"/>
      <c r="G52" s="41"/>
      <c r="H52" s="41"/>
      <c r="I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</row>
    <row r="57" spans="3:24">
      <c r="F57" s="1"/>
      <c r="J57" s="53"/>
    </row>
    <row r="58" spans="3:24">
      <c r="F58" s="1"/>
      <c r="J58" s="53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5" verticalDpi="4294967295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Drop Down 1">
              <controlPr defaultSize="0" autoFill="0" autoLine="0" autoPict="0">
                <anchor moveWithCells="1" sizeWithCells="1">
                  <from>
                    <xdr:col>4</xdr:col>
                    <xdr:colOff>114300</xdr:colOff>
                    <xdr:row>6</xdr:row>
                    <xdr:rowOff>28575</xdr:rowOff>
                  </from>
                  <to>
                    <xdr:col>5</xdr:col>
                    <xdr:colOff>9525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Drop Down 2">
              <controlPr defaultSize="0" autoFill="0" autoLine="0" autoPict="0">
                <anchor moveWithCells="1" sizeWithCells="1">
                  <from>
                    <xdr:col>4</xdr:col>
                    <xdr:colOff>104775</xdr:colOff>
                    <xdr:row>8</xdr:row>
                    <xdr:rowOff>38100</xdr:rowOff>
                  </from>
                  <to>
                    <xdr:col>4</xdr:col>
                    <xdr:colOff>838200</xdr:colOff>
                    <xdr:row>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2" sqref="B2"/>
    </sheetView>
  </sheetViews>
  <sheetFormatPr defaultColWidth="11.42578125" defaultRowHeight="12.75"/>
  <cols>
    <col min="1" max="1" width="21.7109375" customWidth="1"/>
    <col min="2" max="2" width="11.5703125" bestFit="1" customWidth="1"/>
  </cols>
  <sheetData>
    <row r="1" spans="1:7">
      <c r="A1" t="s">
        <v>21</v>
      </c>
    </row>
    <row r="2" spans="1:7">
      <c r="A2" s="5" t="s">
        <v>1</v>
      </c>
      <c r="B2" s="6">
        <f>'Reihenschaltung ohne Schläuche'!G15</f>
        <v>224</v>
      </c>
    </row>
    <row r="3" spans="1:7">
      <c r="A3" s="5" t="s">
        <v>2</v>
      </c>
      <c r="B3" s="6">
        <f>'Reihenschaltung ohne Schläuche'!G10</f>
        <v>4</v>
      </c>
    </row>
    <row r="4" spans="1:7">
      <c r="A4" s="5" t="s">
        <v>3</v>
      </c>
      <c r="B4" s="6">
        <f>'Reihenschaltung ohne Schläuche'!G11</f>
        <v>1</v>
      </c>
    </row>
    <row r="5" spans="1:7">
      <c r="A5" s="7" t="s">
        <v>4</v>
      </c>
      <c r="B5" s="6">
        <v>2.2999999999999998</v>
      </c>
    </row>
    <row r="6" spans="1:7">
      <c r="A6" t="s">
        <v>5</v>
      </c>
      <c r="B6" s="8">
        <v>20</v>
      </c>
    </row>
    <row r="7" spans="1:7">
      <c r="A7" t="s">
        <v>6</v>
      </c>
      <c r="B7" s="9">
        <f>ROUND((B4-0.04)/B6*1000,0)</f>
        <v>48</v>
      </c>
      <c r="C7" t="s">
        <v>7</v>
      </c>
    </row>
    <row r="8" spans="1:7">
      <c r="A8" s="7" t="s">
        <v>8</v>
      </c>
      <c r="B8" s="6">
        <v>16</v>
      </c>
    </row>
    <row r="9" spans="1:7">
      <c r="A9" s="7" t="s">
        <v>9</v>
      </c>
      <c r="B9" s="6">
        <v>0.04</v>
      </c>
    </row>
    <row r="11" spans="1:7">
      <c r="A11" t="s">
        <v>10</v>
      </c>
      <c r="E11" t="s">
        <v>11</v>
      </c>
    </row>
    <row r="12" spans="1:7">
      <c r="A12" s="10" t="s">
        <v>12</v>
      </c>
      <c r="B12" s="11">
        <f>B2/60/B7*21.22/B5^2</f>
        <v>0.3119932787229574</v>
      </c>
      <c r="C12" s="11">
        <f>0.3164*B13^-0.25</f>
        <v>6.1131943956557348E-2</v>
      </c>
      <c r="E12" s="10" t="s">
        <v>12</v>
      </c>
      <c r="F12" s="11">
        <f>B2/60*21.22/B8^2</f>
        <v>0.30945833333333334</v>
      </c>
      <c r="G12" s="11">
        <f>0.3164*F13^-0.25</f>
        <v>3.7718632042541653E-2</v>
      </c>
    </row>
    <row r="13" spans="1:7">
      <c r="A13" s="10" t="s">
        <v>13</v>
      </c>
      <c r="B13" s="11">
        <f>B12*B5*10^3</f>
        <v>717.58454106280203</v>
      </c>
      <c r="C13" s="11">
        <f>64/B13</f>
        <v>8.9188097482159681E-2</v>
      </c>
      <c r="E13" s="10" t="s">
        <v>13</v>
      </c>
      <c r="F13" s="11">
        <f>F12*B8*10^3</f>
        <v>4951.333333333333</v>
      </c>
      <c r="G13" s="11">
        <f>64/F13</f>
        <v>1.2925811229298506E-2</v>
      </c>
    </row>
    <row r="14" spans="1:7">
      <c r="A14" s="12" t="s">
        <v>14</v>
      </c>
      <c r="B14" s="11">
        <f>IF(B13&gt;2300,C12,C13)</f>
        <v>8.9188097482159681E-2</v>
      </c>
      <c r="C14" s="11"/>
      <c r="E14" s="12" t="s">
        <v>14</v>
      </c>
      <c r="F14" s="11">
        <f>IF(F13&gt;2300,G12,G13)</f>
        <v>3.7718632042541653E-2</v>
      </c>
      <c r="G14" s="11"/>
    </row>
    <row r="15" spans="1:7">
      <c r="A15" s="12"/>
      <c r="B15" s="11"/>
      <c r="C15" s="11"/>
    </row>
    <row r="16" spans="1:7">
      <c r="A16" s="13" t="s">
        <v>15</v>
      </c>
      <c r="B16" s="11"/>
      <c r="C16" s="11"/>
    </row>
    <row r="17" spans="1:6">
      <c r="A17" s="5" t="s">
        <v>16</v>
      </c>
      <c r="B17" s="14">
        <f>((B14*B3*998.4*B12^2/(B5*10^-3*2))+(F14*B4/(B8*10^-3)+B9*B7)*F12^2*998.4/2)*2</f>
        <v>15483.163013614199</v>
      </c>
      <c r="E17" s="7"/>
    </row>
    <row r="18" spans="1:6">
      <c r="A18" t="s">
        <v>17</v>
      </c>
      <c r="B18" s="15">
        <f>(B14*B3*998.4*B12^2/(B5*10^-3*2))*2</f>
        <v>15074.194122138408</v>
      </c>
      <c r="E18" s="5"/>
      <c r="F18" s="15"/>
    </row>
    <row r="19" spans="1:6">
      <c r="B19" s="15"/>
    </row>
    <row r="20" spans="1:6">
      <c r="A20" t="s">
        <v>18</v>
      </c>
    </row>
    <row r="21" spans="1:6">
      <c r="A21" s="5" t="s">
        <v>16</v>
      </c>
      <c r="B21" s="14">
        <f>((10^-3*B3*B4*(B2/60/60))^2*8*998.4/PI()^2)*1/(B7*(SQRT((B5*10^-3)^5/(B9*B5*10^-3+B14*2*B3))))^2</f>
        <v>241233.18923705816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2" sqref="B2"/>
    </sheetView>
  </sheetViews>
  <sheetFormatPr defaultColWidth="11.42578125" defaultRowHeight="12.75"/>
  <cols>
    <col min="1" max="1" width="25.42578125" customWidth="1"/>
    <col min="2" max="2" width="11.5703125" bestFit="1" customWidth="1"/>
  </cols>
  <sheetData>
    <row r="1" spans="1:7">
      <c r="A1" t="s">
        <v>22</v>
      </c>
    </row>
    <row r="2" spans="1:7">
      <c r="A2" s="5" t="s">
        <v>1</v>
      </c>
      <c r="B2" s="6">
        <f>'Reihenschaltung ohne Schläuche'!G15</f>
        <v>224</v>
      </c>
    </row>
    <row r="3" spans="1:7">
      <c r="A3" s="5" t="s">
        <v>2</v>
      </c>
      <c r="B3" s="6">
        <f>'Reihenschaltung ohne Schläuche'!G10</f>
        <v>4</v>
      </c>
    </row>
    <row r="4" spans="1:7">
      <c r="A4" s="5" t="s">
        <v>3</v>
      </c>
      <c r="B4" s="6">
        <f>'Reihenschaltung ohne Schläuche'!G11</f>
        <v>1</v>
      </c>
    </row>
    <row r="5" spans="1:7">
      <c r="A5" s="7" t="s">
        <v>4</v>
      </c>
      <c r="B5" s="6">
        <v>2.2999999999999998</v>
      </c>
    </row>
    <row r="6" spans="1:7">
      <c r="A6" t="s">
        <v>5</v>
      </c>
      <c r="B6" s="8">
        <v>10</v>
      </c>
    </row>
    <row r="7" spans="1:7">
      <c r="A7" t="s">
        <v>6</v>
      </c>
      <c r="B7" s="9">
        <f>ROUND((B4-0.04)/B6*1000,0)</f>
        <v>96</v>
      </c>
      <c r="C7" t="s">
        <v>7</v>
      </c>
    </row>
    <row r="8" spans="1:7">
      <c r="A8" s="7" t="s">
        <v>8</v>
      </c>
      <c r="B8" s="6">
        <v>16</v>
      </c>
    </row>
    <row r="9" spans="1:7">
      <c r="A9" s="7" t="s">
        <v>9</v>
      </c>
      <c r="B9" s="6">
        <v>0.04</v>
      </c>
    </row>
    <row r="11" spans="1:7">
      <c r="A11" t="s">
        <v>10</v>
      </c>
      <c r="E11" t="s">
        <v>11</v>
      </c>
    </row>
    <row r="12" spans="1:7">
      <c r="A12" s="10" t="s">
        <v>12</v>
      </c>
      <c r="B12" s="11">
        <f>B2/60/B7*21.22/B5^2</f>
        <v>0.1559966393614787</v>
      </c>
      <c r="C12" s="11">
        <f>0.3164*B13^-0.25</f>
        <v>7.2698542707085589E-2</v>
      </c>
      <c r="E12" s="10" t="s">
        <v>12</v>
      </c>
      <c r="F12" s="11">
        <f>B2/60*21.22/B8^2</f>
        <v>0.30945833333333334</v>
      </c>
      <c r="G12" s="11">
        <f>0.3164*F13^-0.25</f>
        <v>3.7718632042541653E-2</v>
      </c>
    </row>
    <row r="13" spans="1:7">
      <c r="A13" s="10" t="s">
        <v>13</v>
      </c>
      <c r="B13" s="11">
        <f>B12*B5*10^3</f>
        <v>358.79227053140102</v>
      </c>
      <c r="C13" s="11">
        <f>64/B13</f>
        <v>0.17837619496431936</v>
      </c>
      <c r="E13" s="10" t="s">
        <v>13</v>
      </c>
      <c r="F13" s="11">
        <f>F12*B8*10^3</f>
        <v>4951.333333333333</v>
      </c>
      <c r="G13" s="11">
        <f>64/F13</f>
        <v>1.2925811229298506E-2</v>
      </c>
    </row>
    <row r="14" spans="1:7">
      <c r="A14" s="12" t="s">
        <v>14</v>
      </c>
      <c r="B14" s="11">
        <f>IF(B13&gt;2300,C12,C13)</f>
        <v>0.17837619496431936</v>
      </c>
      <c r="C14" s="11"/>
      <c r="E14" s="12" t="s">
        <v>14</v>
      </c>
      <c r="F14" s="11">
        <f>IF(F13&gt;2300,G12,G13)</f>
        <v>3.7718632042541653E-2</v>
      </c>
      <c r="G14" s="11"/>
    </row>
    <row r="15" spans="1:7">
      <c r="A15" s="12"/>
      <c r="B15" s="11"/>
      <c r="C15" s="11"/>
    </row>
    <row r="16" spans="1:7">
      <c r="A16" s="13" t="s">
        <v>15</v>
      </c>
      <c r="B16" s="11"/>
      <c r="C16" s="11"/>
    </row>
    <row r="17" spans="1:6">
      <c r="A17" s="5" t="s">
        <v>16</v>
      </c>
      <c r="B17" s="14">
        <f>((B14*B3*998.4*B12^2/(B5*10^-3*2))+(F14*B4/(B8*10^-3)+B9*B7)*F12^2*998.4/2)</f>
        <v>4064.8197637284979</v>
      </c>
      <c r="E17" s="7"/>
    </row>
    <row r="18" spans="1:6">
      <c r="A18" t="s">
        <v>17</v>
      </c>
      <c r="B18" s="15">
        <f>(B14*B3*998.4*B12^2/(B5*10^-3*2))</f>
        <v>3768.5485305346019</v>
      </c>
      <c r="E18" s="5"/>
      <c r="F18" s="15"/>
    </row>
    <row r="19" spans="1:6">
      <c r="B19" s="15"/>
    </row>
    <row r="20" spans="1:6">
      <c r="A20" t="s">
        <v>18</v>
      </c>
    </row>
    <row r="21" spans="1:6">
      <c r="A21" s="5" t="s">
        <v>16</v>
      </c>
      <c r="B21" s="14">
        <f>((10^-3*B3*B4*(B2/60/60))^2*8*998.4/PI()^2)*1/(B7*(SQRT((B5*10^-3)^5/(B9*B5*10^-3+B14*B3))))^2</f>
        <v>60308.297309264541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B7" sqref="B7"/>
    </sheetView>
  </sheetViews>
  <sheetFormatPr defaultColWidth="11.42578125" defaultRowHeight="12.75"/>
  <sheetData>
    <row r="1" spans="1:7">
      <c r="A1" t="s">
        <v>104</v>
      </c>
    </row>
    <row r="2" spans="1:7">
      <c r="A2" s="5" t="s">
        <v>1</v>
      </c>
      <c r="B2" s="6">
        <f>'Druckverlust der Matte P.FS20'!G11</f>
        <v>35</v>
      </c>
    </row>
    <row r="3" spans="1:7">
      <c r="A3" s="5" t="s">
        <v>2</v>
      </c>
      <c r="B3" s="63">
        <f>'Druckverlust der Matte P.FS20'!G7/1000</f>
        <v>5</v>
      </c>
    </row>
    <row r="4" spans="1:7">
      <c r="A4" s="5" t="s">
        <v>3</v>
      </c>
      <c r="B4" s="6">
        <f>'Druckverlust der Matte P.FS20'!G9/1000</f>
        <v>0.3</v>
      </c>
    </row>
    <row r="5" spans="1:7">
      <c r="A5" s="7" t="s">
        <v>4</v>
      </c>
      <c r="B5" s="6">
        <v>2.9</v>
      </c>
    </row>
    <row r="6" spans="1:7">
      <c r="A6" t="s">
        <v>5</v>
      </c>
      <c r="B6" s="8">
        <v>40</v>
      </c>
    </row>
    <row r="7" spans="1:7">
      <c r="A7" t="s">
        <v>6</v>
      </c>
      <c r="B7" s="9">
        <f>IF('Druckverlust der Matte P.FS20'!G9=600,13,6)</f>
        <v>6</v>
      </c>
      <c r="C7" t="s">
        <v>7</v>
      </c>
    </row>
    <row r="8" spans="1:7">
      <c r="A8" s="7" t="s">
        <v>8</v>
      </c>
      <c r="B8" s="6">
        <v>17.8</v>
      </c>
    </row>
    <row r="9" spans="1:7">
      <c r="A9" s="7" t="s">
        <v>9</v>
      </c>
      <c r="B9" s="6">
        <v>0.04</v>
      </c>
    </row>
    <row r="11" spans="1:7">
      <c r="A11" t="s">
        <v>10</v>
      </c>
      <c r="E11" t="s">
        <v>11</v>
      </c>
    </row>
    <row r="12" spans="1:7">
      <c r="A12" s="10" t="s">
        <v>12</v>
      </c>
      <c r="B12" s="11">
        <f>B3*B4*B2/60/B7*21.22/B5^2</f>
        <v>0.36796472453428458</v>
      </c>
      <c r="C12" s="11">
        <f>0.3164*B13^-0.25</f>
        <v>5.5358642105238845E-2</v>
      </c>
      <c r="E12" s="10" t="s">
        <v>12</v>
      </c>
      <c r="F12" s="11">
        <f>B3*B4*B2/60*21.22/B8^2</f>
        <v>5.8602133568993804E-2</v>
      </c>
      <c r="G12" s="11">
        <f>0.3164*F13^-0.25</f>
        <v>5.5674088729564461E-2</v>
      </c>
    </row>
    <row r="13" spans="1:7">
      <c r="A13" s="10" t="s">
        <v>13</v>
      </c>
      <c r="B13" s="11">
        <f>B12*B5*10^3</f>
        <v>1067.0977011494251</v>
      </c>
      <c r="C13" s="11">
        <f>64/B13</f>
        <v>5.9975764103945076E-2</v>
      </c>
      <c r="E13" s="10" t="s">
        <v>13</v>
      </c>
      <c r="F13" s="11">
        <f>F12*B8*10^3</f>
        <v>1043.1179775280896</v>
      </c>
      <c r="G13" s="11">
        <f>64/F13</f>
        <v>6.1354517301736924E-2</v>
      </c>
    </row>
    <row r="14" spans="1:7">
      <c r="A14" s="12" t="s">
        <v>14</v>
      </c>
      <c r="B14" s="11">
        <f>IF(B13&gt;2300,C12,C13)</f>
        <v>5.9975764103945076E-2</v>
      </c>
      <c r="C14" s="11"/>
      <c r="E14" s="12" t="s">
        <v>14</v>
      </c>
      <c r="F14" s="11">
        <f>IF(F13&gt;2300,G12,G13)</f>
        <v>6.1354517301736924E-2</v>
      </c>
      <c r="G14" s="11"/>
    </row>
    <row r="15" spans="1:7">
      <c r="A15" s="12"/>
      <c r="B15" s="11"/>
      <c r="C15" s="11"/>
    </row>
    <row r="16" spans="1:7">
      <c r="A16" s="13" t="s">
        <v>15</v>
      </c>
      <c r="B16" s="11"/>
      <c r="C16" s="11"/>
    </row>
    <row r="17" spans="1:6">
      <c r="A17" s="5" t="s">
        <v>16</v>
      </c>
      <c r="B17" s="31">
        <f>((B14*B3*998.4*B12^2/(B5*10^-3*2))+(F14*B4/B8*10^-3+B9*B7)*F12^2*998.4/2)*2</f>
        <v>13979.457129706865</v>
      </c>
      <c r="D17" t="s">
        <v>100</v>
      </c>
      <c r="E17" s="7"/>
    </row>
    <row r="18" spans="1:6">
      <c r="A18" t="s">
        <v>17</v>
      </c>
      <c r="B18" s="64">
        <f>(B14*B3*998.4*B12^2/(B5*10^-3*2))*2</f>
        <v>13978.634234483892</v>
      </c>
      <c r="D18" t="s">
        <v>110</v>
      </c>
      <c r="E18" s="5"/>
      <c r="F18" s="15"/>
    </row>
    <row r="19" spans="1:6">
      <c r="B19" s="64"/>
    </row>
    <row r="20" spans="1:6">
      <c r="A20" t="s">
        <v>18</v>
      </c>
      <c r="B20" s="65"/>
    </row>
    <row r="21" spans="1:6">
      <c r="A21" s="5" t="s">
        <v>16</v>
      </c>
      <c r="B21" s="31">
        <f>((10^-3*B3*B4*(B2/60/60))^2*8*998.4/PI()^2)*1/(B7*(SQRT((B5*10^-3)^5/(B9*B5*10^-3+B14*2*B3))))^2</f>
        <v>13982.206377893956</v>
      </c>
      <c r="D21" t="s">
        <v>110</v>
      </c>
    </row>
    <row r="23" spans="1:6">
      <c r="A23" s="66" t="s">
        <v>111</v>
      </c>
      <c r="B23" s="67">
        <f>((10^-3*B3*B4*(B2/60/60))^2*8*998.4/PI()^2)*1/(B7*(SQRT((B5*10^-3)^5/(B9*B5*10^-3+B14*2*B3))))^2+(F14*B4/B8*10^-3+B9*B7)*F12^2*998.4/2*2</f>
        <v>13983.029273116928</v>
      </c>
      <c r="D23" t="s">
        <v>112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D29" sqref="D29"/>
    </sheetView>
  </sheetViews>
  <sheetFormatPr defaultColWidth="11.42578125" defaultRowHeight="12.75"/>
  <cols>
    <col min="1" max="1" width="21.140625" customWidth="1"/>
    <col min="2" max="2" width="11.5703125" bestFit="1" customWidth="1"/>
    <col min="5" max="5" width="17.28515625" customWidth="1"/>
    <col min="7" max="7" width="13.85546875" customWidth="1"/>
  </cols>
  <sheetData>
    <row r="1" spans="1:11">
      <c r="A1" t="s">
        <v>106</v>
      </c>
    </row>
    <row r="2" spans="1:11">
      <c r="A2" s="5" t="s">
        <v>1</v>
      </c>
      <c r="B2" s="6">
        <f>'Druckverlust der Matte PN20'!G14</f>
        <v>40</v>
      </c>
    </row>
    <row r="3" spans="1:11">
      <c r="A3" s="5" t="s">
        <v>2</v>
      </c>
      <c r="B3" s="63">
        <f>'Druckverlust der Matte PN20'!G11</f>
        <v>2</v>
      </c>
    </row>
    <row r="4" spans="1:11">
      <c r="A4" s="5" t="s">
        <v>3</v>
      </c>
      <c r="B4" s="6">
        <f>'Druckverlust der Matte PN20'!G12</f>
        <v>1</v>
      </c>
    </row>
    <row r="5" spans="1:11">
      <c r="A5" s="7" t="s">
        <v>4</v>
      </c>
      <c r="B5" s="6">
        <v>2</v>
      </c>
    </row>
    <row r="6" spans="1:11">
      <c r="A6" t="s">
        <v>5</v>
      </c>
      <c r="B6" s="8">
        <v>30</v>
      </c>
    </row>
    <row r="7" spans="1:11">
      <c r="A7" t="s">
        <v>6</v>
      </c>
      <c r="B7" s="9">
        <f>ROUND(B4/B6*1000,0)-1</f>
        <v>32</v>
      </c>
      <c r="C7" t="s">
        <v>7</v>
      </c>
    </row>
    <row r="8" spans="1:11">
      <c r="A8" s="7" t="s">
        <v>8</v>
      </c>
      <c r="B8" s="6">
        <f>IF('Druckverlust der Matte PN20'!G9='Druckverlust der Matte PN20'!J7,'Druckverlust der Matte PN20'!K7,IF('Druckverlust der Matte PN20'!G9='Druckverlust der Matte PN20'!J8,'Druckverlust der Matte PN20'!K8,'Druckverlust der Matte PN20'!K9))</f>
        <v>13.2</v>
      </c>
    </row>
    <row r="9" spans="1:11">
      <c r="A9" s="7" t="s">
        <v>9</v>
      </c>
      <c r="B9" s="6">
        <v>0.04</v>
      </c>
    </row>
    <row r="11" spans="1:11">
      <c r="A11" t="s">
        <v>10</v>
      </c>
      <c r="E11" t="s">
        <v>11</v>
      </c>
    </row>
    <row r="12" spans="1:11">
      <c r="A12" s="10" t="s">
        <v>12</v>
      </c>
      <c r="B12" s="11">
        <f>B3*B4*B2/60/B7*21.22/B5^2</f>
        <v>0.22104166666666664</v>
      </c>
      <c r="C12" s="11">
        <f>0.3164*B13^-0.25</f>
        <v>6.9001803061261871E-2</v>
      </c>
      <c r="E12" s="10" t="s">
        <v>12</v>
      </c>
      <c r="F12" s="11">
        <f>B3*B4*B2/60*21.22/B8^2</f>
        <v>0.16238138965411691</v>
      </c>
      <c r="G12" s="11">
        <f>0.3164*F13^-0.25</f>
        <v>4.6500639823166712E-2</v>
      </c>
      <c r="I12" s="10"/>
      <c r="J12" s="11"/>
      <c r="K12" s="11"/>
    </row>
    <row r="13" spans="1:11">
      <c r="A13" s="10" t="s">
        <v>13</v>
      </c>
      <c r="B13" s="11">
        <f>B12*B5*10^3</f>
        <v>442.08333333333326</v>
      </c>
      <c r="C13" s="11">
        <f>64/B13</f>
        <v>0.14476908576814329</v>
      </c>
      <c r="E13" s="10" t="s">
        <v>13</v>
      </c>
      <c r="F13" s="11">
        <f>F12*B8*10^3</f>
        <v>2143.4343434343432</v>
      </c>
      <c r="G13" s="11">
        <f>64/F13</f>
        <v>2.985862393967955E-2</v>
      </c>
      <c r="I13" s="10"/>
      <c r="J13" s="11"/>
      <c r="K13" s="11"/>
    </row>
    <row r="14" spans="1:11">
      <c r="A14" s="12" t="s">
        <v>14</v>
      </c>
      <c r="B14" s="11">
        <f>IF(B13&gt;2300,C12,C13)</f>
        <v>0.14476908576814329</v>
      </c>
      <c r="C14" s="11"/>
      <c r="E14" s="12" t="s">
        <v>14</v>
      </c>
      <c r="F14" s="11">
        <f>IF(F13&gt;2300,G12,G13)</f>
        <v>2.985862393967955E-2</v>
      </c>
      <c r="G14" s="11"/>
      <c r="I14" s="12"/>
      <c r="J14" s="11"/>
      <c r="K14" s="11"/>
    </row>
    <row r="15" spans="1:11">
      <c r="A15" s="12"/>
      <c r="B15" s="11"/>
      <c r="C15" s="11"/>
    </row>
    <row r="16" spans="1:11">
      <c r="A16" s="13" t="s">
        <v>15</v>
      </c>
      <c r="B16" s="11"/>
      <c r="C16" s="11"/>
    </row>
    <row r="17" spans="1:6">
      <c r="A17" s="5" t="s">
        <v>16</v>
      </c>
      <c r="B17" s="31">
        <f>((B14*B3*998.4*B12^2/(B5*10^-3*2))+(F14*B4/B8*10^-3+B9*B7)*F12^2*998.4/2)*2</f>
        <v>7095.7127345707049</v>
      </c>
      <c r="D17" t="s">
        <v>100</v>
      </c>
      <c r="E17" s="7"/>
    </row>
    <row r="18" spans="1:6">
      <c r="A18" t="s">
        <v>17</v>
      </c>
      <c r="B18" s="64">
        <f>(B14*B3*998.4*B12^2/(B5*10^-3*2))*2</f>
        <v>7062.0159999999987</v>
      </c>
      <c r="D18" t="s">
        <v>110</v>
      </c>
      <c r="E18" s="5"/>
      <c r="F18" s="15"/>
    </row>
    <row r="19" spans="1:6">
      <c r="B19" s="64"/>
    </row>
    <row r="20" spans="1:6">
      <c r="A20" t="s">
        <v>18</v>
      </c>
      <c r="B20" s="65"/>
    </row>
    <row r="21" spans="1:6">
      <c r="A21" s="5" t="s">
        <v>16</v>
      </c>
      <c r="B21" s="31">
        <f>((10^-3*B3*B4*(B2/60/60))^2*8*998.4/PI()^2)*1/(B7*(SQRT((B5*10^-3)^5/(B9*B5*10^-3+B14*2*B3))))^2</f>
        <v>7063.4303752134465</v>
      </c>
      <c r="D21" t="s">
        <v>110</v>
      </c>
    </row>
    <row r="23" spans="1:6">
      <c r="A23" s="66" t="s">
        <v>111</v>
      </c>
      <c r="B23" s="67">
        <f>((10^-3*B3*B4*(B2/60/60))^2*8*998.4/PI()^2)*1/(B7*(SQRT((B5*10^-3)^5/(B9*B5*10^-3+B14*2*B3))))^2+(F14*B4/B8*10^-3+B9*B7)*F12^2*998.4/2*2</f>
        <v>7097.1271097841527</v>
      </c>
      <c r="D23" t="s">
        <v>112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B3" sqref="B3"/>
    </sheetView>
  </sheetViews>
  <sheetFormatPr defaultColWidth="11.42578125" defaultRowHeight="12.75"/>
  <cols>
    <col min="1" max="1" width="19.7109375" customWidth="1"/>
  </cols>
  <sheetData>
    <row r="1" spans="1:7">
      <c r="A1" t="s">
        <v>104</v>
      </c>
    </row>
    <row r="2" spans="1:7">
      <c r="A2" s="5" t="s">
        <v>1</v>
      </c>
      <c r="B2" s="6">
        <f>'Druckverlust der Matte PN20'!G14</f>
        <v>40</v>
      </c>
    </row>
    <row r="3" spans="1:7">
      <c r="A3" s="5" t="s">
        <v>2</v>
      </c>
      <c r="B3" s="63">
        <f>'Druckverlust der Matte PN20'!G11</f>
        <v>2</v>
      </c>
    </row>
    <row r="4" spans="1:7">
      <c r="A4" s="5" t="s">
        <v>3</v>
      </c>
      <c r="B4" s="6">
        <f>'Druckverlust der Matte PN20'!G12</f>
        <v>1</v>
      </c>
    </row>
    <row r="5" spans="1:7">
      <c r="A5" s="7" t="s">
        <v>4</v>
      </c>
      <c r="B5" s="6">
        <v>2.9</v>
      </c>
    </row>
    <row r="6" spans="1:7">
      <c r="A6" t="s">
        <v>5</v>
      </c>
      <c r="B6" s="8">
        <v>40</v>
      </c>
    </row>
    <row r="7" spans="1:7">
      <c r="A7" t="s">
        <v>6</v>
      </c>
      <c r="B7" s="9">
        <f>ROUND((B4-0.04)/B6*1000,0)</f>
        <v>24</v>
      </c>
      <c r="C7" t="s">
        <v>7</v>
      </c>
    </row>
    <row r="8" spans="1:7">
      <c r="A8" s="7" t="s">
        <v>8</v>
      </c>
      <c r="B8" s="6">
        <f>IF('Druckverlust der Matte PN20'!G9='Druckverlust der Matte PN20'!J7,'Druckverlust der Matte PN20'!K7,IF('Druckverlust der Matte PN20'!G9='Druckverlust der Matte PN20'!J8,'Druckverlust der Matte PN20'!K8,'Druckverlust der Matte PN20'!K9))</f>
        <v>13.2</v>
      </c>
    </row>
    <row r="9" spans="1:7">
      <c r="A9" s="7" t="s">
        <v>9</v>
      </c>
      <c r="B9" s="6">
        <v>0.04</v>
      </c>
    </row>
    <row r="11" spans="1:7">
      <c r="A11" t="s">
        <v>10</v>
      </c>
      <c r="E11" t="s">
        <v>11</v>
      </c>
    </row>
    <row r="12" spans="1:7">
      <c r="A12" s="10" t="s">
        <v>12</v>
      </c>
      <c r="B12" s="11">
        <f>B3*B4*B2/60/B7*21.22/B5^2</f>
        <v>0.14017703791782266</v>
      </c>
      <c r="C12" s="11">
        <f>0.3164*B13^-0.25</f>
        <v>7.046407507756039E-2</v>
      </c>
      <c r="E12" s="10" t="s">
        <v>12</v>
      </c>
      <c r="F12" s="11">
        <f>B3*B4*B2/60*21.22/B8^2</f>
        <v>0.16238138965411691</v>
      </c>
      <c r="G12" s="11">
        <f>0.3164*F13^-0.25</f>
        <v>4.6500639823166712E-2</v>
      </c>
    </row>
    <row r="13" spans="1:7">
      <c r="A13" s="10" t="s">
        <v>13</v>
      </c>
      <c r="B13" s="11">
        <f>B12*B5*10^3</f>
        <v>406.51340996168568</v>
      </c>
      <c r="C13" s="11">
        <f>64/B13</f>
        <v>0.15743638077285585</v>
      </c>
      <c r="E13" s="10" t="s">
        <v>13</v>
      </c>
      <c r="F13" s="11">
        <f>F12*B8*10^3</f>
        <v>2143.4343434343432</v>
      </c>
      <c r="G13" s="11">
        <f>64/F13</f>
        <v>2.985862393967955E-2</v>
      </c>
    </row>
    <row r="14" spans="1:7">
      <c r="A14" s="12" t="s">
        <v>14</v>
      </c>
      <c r="B14" s="11">
        <f>IF(B13&gt;2300,C12,C13)</f>
        <v>0.15743638077285585</v>
      </c>
      <c r="C14" s="11"/>
      <c r="E14" s="12" t="s">
        <v>14</v>
      </c>
      <c r="F14" s="11">
        <f>IF(F13&gt;2300,G12,G13)</f>
        <v>2.985862393967955E-2</v>
      </c>
      <c r="G14" s="11"/>
    </row>
    <row r="15" spans="1:7">
      <c r="A15" s="12"/>
      <c r="B15" s="11"/>
      <c r="C15" s="11"/>
    </row>
    <row r="16" spans="1:7">
      <c r="A16" s="13" t="s">
        <v>15</v>
      </c>
      <c r="B16" s="11"/>
      <c r="C16" s="11"/>
    </row>
    <row r="17" spans="1:6">
      <c r="A17" s="5" t="s">
        <v>16</v>
      </c>
      <c r="B17" s="31">
        <f>((B14*B3*998.4*B12^2/(B5*10^-3*2))+(F14*B4/B8*10^-3+B9*B7)*F12^2*998.4/2)*2</f>
        <v>2155.3501634508671</v>
      </c>
      <c r="D17" t="s">
        <v>100</v>
      </c>
      <c r="E17" s="7"/>
    </row>
    <row r="18" spans="1:6">
      <c r="A18" t="s">
        <v>17</v>
      </c>
      <c r="B18" s="64">
        <f>(B14*B3*998.4*B12^2/(B5*10^-3*2))*2</f>
        <v>2130.0775976356399</v>
      </c>
      <c r="D18" t="s">
        <v>110</v>
      </c>
      <c r="E18" s="5"/>
      <c r="F18" s="15"/>
    </row>
    <row r="19" spans="1:6">
      <c r="B19" s="64"/>
    </row>
    <row r="20" spans="1:6">
      <c r="A20" t="s">
        <v>18</v>
      </c>
      <c r="B20" s="65"/>
    </row>
    <row r="21" spans="1:6">
      <c r="A21" s="5" t="s">
        <v>16</v>
      </c>
      <c r="B21" s="31">
        <f>((10^-3*B3*B4*(B2/60/60))^2*8*998.4/PI()^2)*1/(B7*(SQRT((B5*10^-3)^5/(B9*B5*10^-3+B14*2*B3))))^2</f>
        <v>2130.6023048692382</v>
      </c>
      <c r="D21" t="s">
        <v>110</v>
      </c>
    </row>
    <row r="23" spans="1:6">
      <c r="A23" s="66" t="s">
        <v>111</v>
      </c>
      <c r="B23" s="67">
        <f>((10^-3*B3*B4*(B2/60/60))^2*8*998.4/PI()^2)*1/(B7*(SQRT((B5*10^-3)^5/(B9*B5*10^-3+B14*2*B3))))^2+(F14*B4/B8*10^-3+B9*B7)*F12^2*998.4/2*2</f>
        <v>2155.8748706844653</v>
      </c>
      <c r="D23" t="s">
        <v>112</v>
      </c>
    </row>
  </sheetData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D29" sqref="D29"/>
    </sheetView>
  </sheetViews>
  <sheetFormatPr defaultColWidth="11.42578125" defaultRowHeight="12.75"/>
  <cols>
    <col min="1" max="1" width="19.7109375" customWidth="1"/>
  </cols>
  <sheetData>
    <row r="1" spans="1:7">
      <c r="A1" t="s">
        <v>105</v>
      </c>
    </row>
    <row r="2" spans="1:7">
      <c r="A2" s="5" t="s">
        <v>1</v>
      </c>
      <c r="B2" s="6">
        <f>'Druckverlust der Matte PN20'!G14</f>
        <v>40</v>
      </c>
    </row>
    <row r="3" spans="1:7">
      <c r="A3" s="5" t="s">
        <v>2</v>
      </c>
      <c r="B3" s="63">
        <f>'Druckverlust der Matte PN20'!G11</f>
        <v>2</v>
      </c>
    </row>
    <row r="4" spans="1:7">
      <c r="A4" s="5" t="s">
        <v>3</v>
      </c>
      <c r="B4" s="6">
        <f>'Druckverlust der Matte PN20'!G12</f>
        <v>1</v>
      </c>
    </row>
    <row r="5" spans="1:7">
      <c r="A5" s="7" t="s">
        <v>4</v>
      </c>
      <c r="B5" s="6">
        <v>2.9</v>
      </c>
    </row>
    <row r="6" spans="1:7">
      <c r="A6" t="s">
        <v>5</v>
      </c>
      <c r="B6" s="8">
        <v>60</v>
      </c>
    </row>
    <row r="7" spans="1:7">
      <c r="A7" t="s">
        <v>6</v>
      </c>
      <c r="B7" s="9">
        <f>ROUND((B4-0.04)/B6*1000,0)</f>
        <v>16</v>
      </c>
      <c r="C7" t="s">
        <v>7</v>
      </c>
    </row>
    <row r="8" spans="1:7">
      <c r="A8" s="7" t="s">
        <v>8</v>
      </c>
      <c r="B8" s="6">
        <f>IF('Druckverlust der Matte PN20'!G9='Druckverlust der Matte PN20'!J7,'Druckverlust der Matte PN20'!K7,IF('Druckverlust der Matte PN20'!G9='Druckverlust der Matte PN20'!J8,'Druckverlust der Matte PN20'!K8,'Druckverlust der Matte PN20'!K9))</f>
        <v>13.2</v>
      </c>
    </row>
    <row r="9" spans="1:7">
      <c r="A9" s="7" t="s">
        <v>9</v>
      </c>
      <c r="B9" s="6">
        <v>0.04</v>
      </c>
    </row>
    <row r="11" spans="1:7">
      <c r="A11" t="s">
        <v>10</v>
      </c>
      <c r="E11" t="s">
        <v>11</v>
      </c>
    </row>
    <row r="12" spans="1:7">
      <c r="A12" s="10" t="s">
        <v>12</v>
      </c>
      <c r="B12" s="11">
        <f>B3*B4*B2/60/B7*21.22/B5^2</f>
        <v>0.21026555687673401</v>
      </c>
      <c r="C12" s="11">
        <f>0.3164*B13^-0.25</f>
        <v>6.3671479422598098E-2</v>
      </c>
      <c r="E12" s="10" t="s">
        <v>12</v>
      </c>
      <c r="F12" s="11">
        <f>B3*B4*B2/60*21.22/B8^2</f>
        <v>0.16238138965411691</v>
      </c>
      <c r="G12" s="11">
        <f>0.3164*F13^-0.25</f>
        <v>4.6500639823166712E-2</v>
      </c>
    </row>
    <row r="13" spans="1:7">
      <c r="A13" s="10" t="s">
        <v>13</v>
      </c>
      <c r="B13" s="11">
        <f>B12*B5*10^3</f>
        <v>609.77011494252861</v>
      </c>
      <c r="C13" s="11">
        <f>64/B13</f>
        <v>0.10495758718190389</v>
      </c>
      <c r="E13" s="10" t="s">
        <v>13</v>
      </c>
      <c r="F13" s="11">
        <f>F12*B8*10^3</f>
        <v>2143.4343434343432</v>
      </c>
      <c r="G13" s="11">
        <f>64/F13</f>
        <v>2.985862393967955E-2</v>
      </c>
    </row>
    <row r="14" spans="1:7">
      <c r="A14" s="12" t="s">
        <v>14</v>
      </c>
      <c r="B14" s="11">
        <f>IF(B13&gt;2300,C12,C13)</f>
        <v>0.10495758718190389</v>
      </c>
      <c r="C14" s="11"/>
      <c r="E14" s="12" t="s">
        <v>14</v>
      </c>
      <c r="F14" s="11">
        <f>IF(F13&gt;2300,G12,G13)</f>
        <v>2.985862393967955E-2</v>
      </c>
      <c r="G14" s="11"/>
    </row>
    <row r="15" spans="1:7">
      <c r="A15" s="12"/>
      <c r="B15" s="11"/>
      <c r="C15" s="11"/>
    </row>
    <row r="16" spans="1:7">
      <c r="A16" s="13" t="s">
        <v>15</v>
      </c>
      <c r="B16" s="11"/>
      <c r="C16" s="11"/>
    </row>
    <row r="17" spans="1:6">
      <c r="A17" s="5" t="s">
        <v>16</v>
      </c>
      <c r="B17" s="31">
        <f>((B14*B3*998.4*B12^2/(B5*10^-3*2))+(F14*B4/B8*10^-3+B9*B7)*F12^2*998.4/2)*2</f>
        <v>3211.9647935132084</v>
      </c>
      <c r="D17" t="s">
        <v>100</v>
      </c>
      <c r="E17" s="7"/>
    </row>
    <row r="18" spans="1:6">
      <c r="A18" t="s">
        <v>17</v>
      </c>
      <c r="B18" s="64">
        <f>(B14*B3*998.4*B12^2/(B5*10^-3*2))*2</f>
        <v>3195.1163964534603</v>
      </c>
      <c r="D18" t="s">
        <v>110</v>
      </c>
      <c r="E18" s="5"/>
      <c r="F18" s="15"/>
    </row>
    <row r="19" spans="1:6">
      <c r="B19" s="64"/>
    </row>
    <row r="20" spans="1:6">
      <c r="A20" t="s">
        <v>18</v>
      </c>
      <c r="B20" s="65"/>
    </row>
    <row r="21" spans="1:6">
      <c r="A21" s="5" t="s">
        <v>16</v>
      </c>
      <c r="B21" s="31">
        <f>((10^-3*B3*B4*(B2/60/60))^2*8*998.4/PI()^2)*1/(B7*(SQRT((B5*10^-3)^5/(B9*B5*10^-3+B14*2*B3))))^2</f>
        <v>3196.1977480228929</v>
      </c>
      <c r="D21" t="s">
        <v>110</v>
      </c>
    </row>
    <row r="23" spans="1:6">
      <c r="A23" s="66" t="s">
        <v>111</v>
      </c>
      <c r="B23" s="67">
        <f>((10^-3*B3*B4*(B2/60/60))^2*8*998.4/PI()^2)*1/(B7*(SQRT((B5*10^-3)^5/(B9*B5*10^-3+B14*2*B3))))^2+(F14*B4/B8*10^-3+B9*B7)*F12^2*998.4/2*2</f>
        <v>3213.046145082641</v>
      </c>
      <c r="D23" t="s">
        <v>112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D29" sqref="D29"/>
    </sheetView>
  </sheetViews>
  <sheetFormatPr defaultColWidth="11.42578125" defaultRowHeight="12.75"/>
  <cols>
    <col min="1" max="1" width="21.28515625" customWidth="1"/>
  </cols>
  <sheetData>
    <row r="1" spans="1:7">
      <c r="A1" t="s">
        <v>107</v>
      </c>
    </row>
    <row r="2" spans="1:7">
      <c r="A2" s="5" t="s">
        <v>1</v>
      </c>
      <c r="B2" s="6">
        <f>'Druckverlust der Matte PN20'!G14</f>
        <v>40</v>
      </c>
    </row>
    <row r="3" spans="1:7">
      <c r="A3" s="5" t="s">
        <v>2</v>
      </c>
      <c r="B3" s="63">
        <f>'Druckverlust der Matte PN20'!G11</f>
        <v>2</v>
      </c>
    </row>
    <row r="4" spans="1:7">
      <c r="A4" s="5" t="s">
        <v>3</v>
      </c>
      <c r="B4" s="6">
        <f>'Druckverlust der Matte PN20'!G12</f>
        <v>1</v>
      </c>
    </row>
    <row r="5" spans="1:7">
      <c r="A5" s="7" t="s">
        <v>4</v>
      </c>
      <c r="B5" s="6">
        <v>2.9</v>
      </c>
    </row>
    <row r="6" spans="1:7">
      <c r="A6" t="s">
        <v>5</v>
      </c>
      <c r="B6" s="8">
        <v>10</v>
      </c>
    </row>
    <row r="7" spans="1:7">
      <c r="A7" t="s">
        <v>6</v>
      </c>
      <c r="B7" s="9">
        <f>ROUND((B4-0.04)/B6*1000,0)</f>
        <v>96</v>
      </c>
      <c r="C7" t="s">
        <v>7</v>
      </c>
    </row>
    <row r="8" spans="1:7">
      <c r="A8" s="7" t="s">
        <v>8</v>
      </c>
      <c r="B8" s="6">
        <f>IF('Druckverlust der Matte PN20'!G9='Druckverlust der Matte PN20'!J7,'Druckverlust der Matte PN20'!K7,IF('Druckverlust der Matte PN20'!G9='Druckverlust der Matte PN20'!J8,'Druckverlust der Matte PN20'!K8,'Druckverlust der Matte PN20'!K9))</f>
        <v>13.2</v>
      </c>
    </row>
    <row r="9" spans="1:7">
      <c r="A9" s="7" t="s">
        <v>9</v>
      </c>
      <c r="B9" s="6">
        <v>0.04</v>
      </c>
    </row>
    <row r="11" spans="1:7">
      <c r="A11" t="s">
        <v>10</v>
      </c>
      <c r="E11" t="s">
        <v>11</v>
      </c>
    </row>
    <row r="12" spans="1:7">
      <c r="A12" s="10" t="s">
        <v>12</v>
      </c>
      <c r="B12" s="11">
        <f>B3*B4*B2/60/B7*21.22/B5^2</f>
        <v>3.5044259479455664E-2</v>
      </c>
      <c r="C12" s="11">
        <f>0.3164*B13^-0.25</f>
        <v>9.965125063476192E-2</v>
      </c>
      <c r="E12" s="10" t="s">
        <v>12</v>
      </c>
      <c r="F12" s="11">
        <f>B3*B4*B2/60*21.22/B8^2</f>
        <v>0.16238138965411691</v>
      </c>
      <c r="G12" s="11">
        <f>0.3164*F13^-0.25</f>
        <v>4.6500639823166712E-2</v>
      </c>
    </row>
    <row r="13" spans="1:7">
      <c r="A13" s="10" t="s">
        <v>13</v>
      </c>
      <c r="B13" s="11">
        <f>B12*B5*10^3</f>
        <v>101.62835249042142</v>
      </c>
      <c r="C13" s="11">
        <f>64/B13</f>
        <v>0.6297455230914234</v>
      </c>
      <c r="E13" s="10" t="s">
        <v>13</v>
      </c>
      <c r="F13" s="11">
        <f>F12*B8*10^3</f>
        <v>2143.4343434343432</v>
      </c>
      <c r="G13" s="11">
        <f>64/F13</f>
        <v>2.985862393967955E-2</v>
      </c>
    </row>
    <row r="14" spans="1:7">
      <c r="A14" s="12" t="s">
        <v>14</v>
      </c>
      <c r="B14" s="11">
        <f>IF(B13&gt;2300,C12,C13)</f>
        <v>0.6297455230914234</v>
      </c>
      <c r="C14" s="11"/>
      <c r="E14" s="12" t="s">
        <v>14</v>
      </c>
      <c r="F14" s="11">
        <f>IF(F13&gt;2300,G12,G13)</f>
        <v>2.985862393967955E-2</v>
      </c>
      <c r="G14" s="11"/>
    </row>
    <row r="15" spans="1:7">
      <c r="A15" s="12"/>
      <c r="B15" s="11"/>
      <c r="C15" s="11"/>
    </row>
    <row r="16" spans="1:7">
      <c r="A16" s="13" t="s">
        <v>15</v>
      </c>
      <c r="B16" s="11"/>
      <c r="C16" s="11"/>
    </row>
    <row r="17" spans="1:6">
      <c r="A17" s="5" t="s">
        <v>16</v>
      </c>
      <c r="B17" s="31">
        <f>((B14*B3*998.4*B12^2/(B5*10^-3*2))+(F14*B4/B8*10^-3+B9*B7)*F12^2*998.4/2)</f>
        <v>316.80474201172501</v>
      </c>
      <c r="D17" t="s">
        <v>100</v>
      </c>
      <c r="E17" s="7"/>
    </row>
    <row r="18" spans="1:6">
      <c r="A18" t="s">
        <v>17</v>
      </c>
      <c r="B18" s="64">
        <f>(B14*B3*998.4*B12^2/(B5*10^-3*2))</f>
        <v>266.25969970445499</v>
      </c>
      <c r="D18" t="s">
        <v>110</v>
      </c>
      <c r="E18" s="5"/>
      <c r="F18" s="15"/>
    </row>
    <row r="19" spans="1:6">
      <c r="B19" s="64"/>
    </row>
    <row r="20" spans="1:6">
      <c r="A20" t="s">
        <v>18</v>
      </c>
      <c r="B20" s="65"/>
    </row>
    <row r="21" spans="1:6">
      <c r="A21" s="5" t="s">
        <v>16</v>
      </c>
      <c r="B21" s="31">
        <f>((10^-3*B3*B4*(B2/60/60))^2*8*998.4/PI()^2)*1/(B7*(SQRT((B5*10^-3)^5/(B9*B5*10^-3+B14*B3))))^2</f>
        <v>266.3007638820684</v>
      </c>
      <c r="D21" t="s">
        <v>110</v>
      </c>
    </row>
    <row r="23" spans="1:6">
      <c r="A23" s="66" t="s">
        <v>111</v>
      </c>
      <c r="B23" s="67">
        <f>((10^-3*B3*B4*(B2/60/60))^2*8*998.4/PI()^2)*1/(B7*(SQRT((B5*10^-3)^5/(B9*B5*10^-3+B14*2*B3))))^2+(F14*B4/B8*10^-3+B9*B7)*F12^2*998.4/2*2</f>
        <v>633.66708815209051</v>
      </c>
      <c r="D23" t="s">
        <v>112</v>
      </c>
    </row>
  </sheetData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17" sqref="B17"/>
    </sheetView>
  </sheetViews>
  <sheetFormatPr defaultColWidth="11.42578125" defaultRowHeight="12.75"/>
  <cols>
    <col min="1" max="1" width="21.7109375" customWidth="1"/>
    <col min="2" max="2" width="11.5703125" bestFit="1" customWidth="1"/>
  </cols>
  <sheetData>
    <row r="1" spans="1:7">
      <c r="A1" t="s">
        <v>21</v>
      </c>
    </row>
    <row r="2" spans="1:7">
      <c r="A2" s="5" t="s">
        <v>1</v>
      </c>
      <c r="B2" s="6">
        <f>'Druckverlust der K - BeKa Matte'!$G$13</f>
        <v>30</v>
      </c>
    </row>
    <row r="3" spans="1:7">
      <c r="A3" s="5" t="s">
        <v>2</v>
      </c>
      <c r="B3" s="6">
        <f>'Druckverlust der K - BeKa Matte'!$G$10</f>
        <v>1</v>
      </c>
    </row>
    <row r="4" spans="1:7">
      <c r="A4" s="5" t="s">
        <v>3</v>
      </c>
      <c r="B4" s="6">
        <f>'Druckverlust der K - BeKa Matte'!$G$11</f>
        <v>0.4</v>
      </c>
    </row>
    <row r="5" spans="1:7">
      <c r="A5" s="7" t="s">
        <v>4</v>
      </c>
      <c r="B5" s="6">
        <v>2.2999999999999998</v>
      </c>
    </row>
    <row r="6" spans="1:7">
      <c r="A6" t="s">
        <v>5</v>
      </c>
      <c r="B6" s="8">
        <v>20</v>
      </c>
    </row>
    <row r="7" spans="1:7">
      <c r="A7" t="s">
        <v>6</v>
      </c>
      <c r="B7" s="9">
        <f>ROUND((B4-0.04)/B6*1000,0)</f>
        <v>18</v>
      </c>
      <c r="C7" t="s">
        <v>7</v>
      </c>
    </row>
    <row r="8" spans="1:7">
      <c r="A8" s="7" t="s">
        <v>8</v>
      </c>
      <c r="B8" s="6">
        <v>16</v>
      </c>
    </row>
    <row r="9" spans="1:7">
      <c r="A9" s="7" t="s">
        <v>9</v>
      </c>
      <c r="B9" s="6">
        <v>0.04</v>
      </c>
    </row>
    <row r="11" spans="1:7">
      <c r="A11" t="s">
        <v>10</v>
      </c>
      <c r="E11" t="s">
        <v>11</v>
      </c>
    </row>
    <row r="12" spans="1:7">
      <c r="A12" s="10" t="s">
        <v>12</v>
      </c>
      <c r="B12" s="11">
        <f>B3*B4*B2/60/B7*21.22/B5^2</f>
        <v>4.4570468388993915E-2</v>
      </c>
      <c r="C12" s="11">
        <f>0.3164*B13^-0.25</f>
        <v>9.9435787210758783E-2</v>
      </c>
      <c r="E12" s="10" t="s">
        <v>12</v>
      </c>
      <c r="F12" s="11">
        <f>B3*B4*B2/60*21.22/B8^2</f>
        <v>1.6578124999999999E-2</v>
      </c>
      <c r="G12" s="11">
        <f>0.3164*F13^-0.25</f>
        <v>7.8401184959382128E-2</v>
      </c>
    </row>
    <row r="13" spans="1:7">
      <c r="A13" s="10" t="s">
        <v>13</v>
      </c>
      <c r="B13" s="11">
        <f>B12*B5*10^3</f>
        <v>102.51207729468599</v>
      </c>
      <c r="C13" s="11">
        <f>64/B13</f>
        <v>0.62431668237511784</v>
      </c>
      <c r="E13" s="10" t="s">
        <v>13</v>
      </c>
      <c r="F13" s="11">
        <f>F12*B8*10^3</f>
        <v>265.25</v>
      </c>
      <c r="G13" s="11">
        <f>64/F13</f>
        <v>0.2412818096135721</v>
      </c>
    </row>
    <row r="14" spans="1:7">
      <c r="A14" s="12" t="s">
        <v>14</v>
      </c>
      <c r="B14" s="11">
        <f>IF(B13&gt;2300,C12,C13)</f>
        <v>0.62431668237511784</v>
      </c>
      <c r="C14" s="11"/>
      <c r="E14" s="12" t="s">
        <v>14</v>
      </c>
      <c r="F14" s="11">
        <f>IF(F13&gt;2300,G12,G13)</f>
        <v>0.2412818096135721</v>
      </c>
      <c r="G14" s="11"/>
    </row>
    <row r="15" spans="1:7">
      <c r="A15" s="12"/>
      <c r="B15" s="11"/>
      <c r="C15" s="11"/>
    </row>
    <row r="16" spans="1:7">
      <c r="A16" s="13" t="s">
        <v>15</v>
      </c>
      <c r="B16" s="11"/>
      <c r="C16" s="11"/>
    </row>
    <row r="17" spans="1:6">
      <c r="A17" s="5" t="s">
        <v>16</v>
      </c>
      <c r="B17" s="14">
        <f>((B14*B3*998.4*B12^2/(B5*10^-3*2))+(F14*B4/(B8*10^-3)+B9*B7)*F12^2*998.4/2)*2</f>
        <v>540.21679982615751</v>
      </c>
      <c r="E17" s="7"/>
    </row>
    <row r="18" spans="1:6">
      <c r="A18" t="s">
        <v>17</v>
      </c>
      <c r="B18" s="15">
        <f>(B14*B3*998.4*B12^2/(B5*10^-3*2))*2</f>
        <v>538.36407579065747</v>
      </c>
      <c r="E18" s="5"/>
      <c r="F18" s="15"/>
    </row>
    <row r="19" spans="1:6">
      <c r="B19" s="15"/>
    </row>
    <row r="20" spans="1:6">
      <c r="A20" t="s">
        <v>18</v>
      </c>
    </row>
    <row r="21" spans="1:6">
      <c r="A21" s="5" t="s">
        <v>16</v>
      </c>
      <c r="B21" s="14">
        <f>((10^-3*B3*B4*(B2/60/60))^2*8*998.4/PI()^2)*1/(B7*(SQRT((B5*10^-3)^5/(B9*B5*10^-3+B14*2*B3))))^2</f>
        <v>538.43718819007154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D29" sqref="D29"/>
    </sheetView>
  </sheetViews>
  <sheetFormatPr defaultColWidth="11.42578125" defaultRowHeight="12.75"/>
  <cols>
    <col min="1" max="1" width="21.28515625" customWidth="1"/>
  </cols>
  <sheetData>
    <row r="1" spans="1:7">
      <c r="A1" t="s">
        <v>108</v>
      </c>
    </row>
    <row r="2" spans="1:7">
      <c r="A2" s="5" t="s">
        <v>1</v>
      </c>
      <c r="B2" s="6">
        <f>'Druckverlust der Matte PN20'!G14</f>
        <v>40</v>
      </c>
    </row>
    <row r="3" spans="1:7">
      <c r="A3" s="5" t="s">
        <v>2</v>
      </c>
      <c r="B3" s="63">
        <f>'Druckverlust der Matte PN20'!G11</f>
        <v>2</v>
      </c>
    </row>
    <row r="4" spans="1:7">
      <c r="A4" s="5" t="s">
        <v>3</v>
      </c>
      <c r="B4" s="6">
        <f>'Druckverlust der Matte PN20'!G12</f>
        <v>1</v>
      </c>
    </row>
    <row r="5" spans="1:7">
      <c r="A5" s="7" t="s">
        <v>4</v>
      </c>
      <c r="B5" s="6">
        <v>2.9</v>
      </c>
    </row>
    <row r="6" spans="1:7">
      <c r="A6" t="s">
        <v>5</v>
      </c>
      <c r="B6" s="8">
        <v>20</v>
      </c>
    </row>
    <row r="7" spans="1:7">
      <c r="A7" t="s">
        <v>6</v>
      </c>
      <c r="B7" s="9">
        <f>ROUND((B4-0.04)/B6*1000,0)</f>
        <v>48</v>
      </c>
      <c r="C7" t="s">
        <v>7</v>
      </c>
    </row>
    <row r="8" spans="1:7">
      <c r="A8" s="7" t="s">
        <v>8</v>
      </c>
      <c r="B8" s="6">
        <f>IF('Druckverlust der Matte PN20'!G9='Druckverlust der Matte PN20'!J7,'Druckverlust der Matte PN20'!K7,IF('Druckverlust der Matte PN20'!G9='Druckverlust der Matte PN20'!J8,'Druckverlust der Matte PN20'!K8,'Druckverlust der Matte PN20'!K9))</f>
        <v>13.2</v>
      </c>
    </row>
    <row r="9" spans="1:7">
      <c r="A9" s="7" t="s">
        <v>9</v>
      </c>
      <c r="B9" s="6">
        <v>0.04</v>
      </c>
    </row>
    <row r="11" spans="1:7">
      <c r="A11" t="s">
        <v>10</v>
      </c>
      <c r="E11" t="s">
        <v>11</v>
      </c>
    </row>
    <row r="12" spans="1:7">
      <c r="A12" s="10" t="s">
        <v>12</v>
      </c>
      <c r="B12" s="11">
        <f>B3*B4*B2/60/B7*21.22/B5^2</f>
        <v>7.0088518958911328E-2</v>
      </c>
      <c r="C12" s="11">
        <f>0.3164*B13^-0.25</f>
        <v>8.3796379434320736E-2</v>
      </c>
      <c r="E12" s="10" t="s">
        <v>12</v>
      </c>
      <c r="F12" s="11">
        <f>B3*B4*B2/60*21.22/B8^2</f>
        <v>0.16238138965411691</v>
      </c>
      <c r="G12" s="11">
        <f>0.3164*F13^-0.25</f>
        <v>4.6500639823166712E-2</v>
      </c>
    </row>
    <row r="13" spans="1:7">
      <c r="A13" s="10" t="s">
        <v>13</v>
      </c>
      <c r="B13" s="11">
        <f>B12*B5*10^3</f>
        <v>203.25670498084284</v>
      </c>
      <c r="C13" s="11">
        <f>64/B13</f>
        <v>0.3148727615457117</v>
      </c>
      <c r="E13" s="10" t="s">
        <v>13</v>
      </c>
      <c r="F13" s="11">
        <f>F12*B8*10^3</f>
        <v>2143.4343434343432</v>
      </c>
      <c r="G13" s="11">
        <f>64/F13</f>
        <v>2.985862393967955E-2</v>
      </c>
    </row>
    <row r="14" spans="1:7">
      <c r="A14" s="12" t="s">
        <v>14</v>
      </c>
      <c r="B14" s="11">
        <f>IF(B13&gt;2300,C12,C13)</f>
        <v>0.3148727615457117</v>
      </c>
      <c r="C14" s="11"/>
      <c r="E14" s="12" t="s">
        <v>14</v>
      </c>
      <c r="F14" s="11">
        <f>IF(F13&gt;2300,G12,G13)</f>
        <v>2.985862393967955E-2</v>
      </c>
      <c r="G14" s="11"/>
    </row>
    <row r="15" spans="1:7">
      <c r="A15" s="12"/>
      <c r="B15" s="11"/>
      <c r="C15" s="11"/>
    </row>
    <row r="16" spans="1:7">
      <c r="A16" s="13" t="s">
        <v>15</v>
      </c>
      <c r="B16" s="11"/>
      <c r="C16" s="11"/>
    </row>
    <row r="17" spans="1:6">
      <c r="A17" s="5" t="s">
        <v>16</v>
      </c>
      <c r="B17" s="31">
        <f>((B14*B3*998.4*B12^2/(B5*10^-3*2))+(F14*B4/B8*10^-3+B9*B7)*F12^2*998.4/2)</f>
        <v>557.79193544974237</v>
      </c>
      <c r="D17" t="s">
        <v>100</v>
      </c>
      <c r="E17" s="7"/>
    </row>
    <row r="18" spans="1:6">
      <c r="A18" t="s">
        <v>17</v>
      </c>
      <c r="B18" s="64">
        <f>(B14*B3*998.4*B12^2/(B5*10^-3*2))</f>
        <v>532.51939940890998</v>
      </c>
      <c r="D18" t="s">
        <v>110</v>
      </c>
      <c r="E18" s="5"/>
      <c r="F18" s="15"/>
    </row>
    <row r="19" spans="1:6">
      <c r="B19" s="64"/>
    </row>
    <row r="20" spans="1:6">
      <c r="A20" t="s">
        <v>18</v>
      </c>
      <c r="B20" s="65"/>
    </row>
    <row r="21" spans="1:6">
      <c r="A21" s="5" t="s">
        <v>16</v>
      </c>
      <c r="B21" s="31">
        <f>((10^-3*B3*B4*(B2/60/60))^2*8*998.4/PI()^2)*1/(B7*(SQRT((B5*10^-3)^5/(B9*B5*10^-3+B14*B3))))^2</f>
        <v>532.65057621730955</v>
      </c>
      <c r="D21" t="s">
        <v>110</v>
      </c>
    </row>
    <row r="23" spans="1:6">
      <c r="A23" s="66" t="s">
        <v>111</v>
      </c>
      <c r="B23" s="67">
        <f>((10^-3*B3*B4*(B2/60/60))^2*8*998.4/PI()^2)*1/(B7*(SQRT((B5*10^-3)^5/(B9*B5*10^-3+B14*2*B3))))^2+(F14*B4/B8*10^-3+B9*B7)*F12^2*998.4/2*2</f>
        <v>1115.7481276099384</v>
      </c>
      <c r="D23" t="s">
        <v>112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D29" sqref="D29"/>
    </sheetView>
  </sheetViews>
  <sheetFormatPr defaultColWidth="11.42578125" defaultRowHeight="12.75"/>
  <cols>
    <col min="1" max="1" width="21.28515625" customWidth="1"/>
  </cols>
  <sheetData>
    <row r="1" spans="1:7">
      <c r="A1" t="s">
        <v>109</v>
      </c>
    </row>
    <row r="2" spans="1:7">
      <c r="A2" s="5" t="s">
        <v>1</v>
      </c>
      <c r="B2" s="6">
        <f>'Druckverlust der Matte PN20'!G14</f>
        <v>40</v>
      </c>
    </row>
    <row r="3" spans="1:7">
      <c r="A3" s="5" t="s">
        <v>2</v>
      </c>
      <c r="B3" s="63">
        <f>'Druckverlust der Matte PN20'!G11</f>
        <v>2</v>
      </c>
    </row>
    <row r="4" spans="1:7">
      <c r="A4" s="5" t="s">
        <v>3</v>
      </c>
      <c r="B4" s="6">
        <f>'Druckverlust der Matte PN20'!G12</f>
        <v>1</v>
      </c>
    </row>
    <row r="5" spans="1:7">
      <c r="A5" s="7" t="s">
        <v>4</v>
      </c>
      <c r="B5" s="6">
        <v>2.9</v>
      </c>
    </row>
    <row r="6" spans="1:7">
      <c r="A6" t="s">
        <v>5</v>
      </c>
      <c r="B6" s="8">
        <v>30</v>
      </c>
    </row>
    <row r="7" spans="1:7">
      <c r="A7" t="s">
        <v>6</v>
      </c>
      <c r="B7" s="9">
        <f>ROUND((B4-0.04)/B6*1000,0)</f>
        <v>32</v>
      </c>
      <c r="C7" t="s">
        <v>7</v>
      </c>
    </row>
    <row r="8" spans="1:7">
      <c r="A8" s="7" t="s">
        <v>8</v>
      </c>
      <c r="B8" s="6">
        <f>IF('Druckverlust der Matte PN20'!G9='Druckverlust der Matte PN20'!J7,'Druckverlust der Matte PN20'!K7,IF('Druckverlust der Matte PN20'!G9='Druckverlust der Matte PN20'!J8,'Druckverlust der Matte PN20'!K8,'Druckverlust der Matte PN20'!K9))</f>
        <v>13.2</v>
      </c>
    </row>
    <row r="9" spans="1:7">
      <c r="A9" s="7" t="s">
        <v>9</v>
      </c>
      <c r="B9" s="6">
        <v>0.04</v>
      </c>
    </row>
    <row r="11" spans="1:7">
      <c r="A11" t="s">
        <v>10</v>
      </c>
      <c r="E11" t="s">
        <v>11</v>
      </c>
    </row>
    <row r="12" spans="1:7">
      <c r="A12" s="10" t="s">
        <v>12</v>
      </c>
      <c r="B12" s="11">
        <f>B3*B4*B2/60/B7*21.22/B5^2</f>
        <v>0.10513277843836701</v>
      </c>
      <c r="C12" s="11">
        <f>0.3164*B13^-0.25</f>
        <v>7.5718576352103023E-2</v>
      </c>
      <c r="E12" s="10" t="s">
        <v>12</v>
      </c>
      <c r="F12" s="11">
        <f>B3*B4*B2/60*21.22/B8^2</f>
        <v>0.16238138965411691</v>
      </c>
      <c r="G12" s="11">
        <f>0.3164*F13^-0.25</f>
        <v>4.6500639823166712E-2</v>
      </c>
    </row>
    <row r="13" spans="1:7">
      <c r="A13" s="10" t="s">
        <v>13</v>
      </c>
      <c r="B13" s="11">
        <f>B12*B5*10^3</f>
        <v>304.8850574712643</v>
      </c>
      <c r="C13" s="11">
        <f>64/B13</f>
        <v>0.20991517436380777</v>
      </c>
      <c r="E13" s="10" t="s">
        <v>13</v>
      </c>
      <c r="F13" s="11">
        <f>F12*B8*10^3</f>
        <v>2143.4343434343432</v>
      </c>
      <c r="G13" s="11">
        <f>64/F13</f>
        <v>2.985862393967955E-2</v>
      </c>
    </row>
    <row r="14" spans="1:7">
      <c r="A14" s="12" t="s">
        <v>14</v>
      </c>
      <c r="B14" s="11">
        <f>IF(B13&gt;2300,C12,C13)</f>
        <v>0.20991517436380777</v>
      </c>
      <c r="C14" s="11"/>
      <c r="E14" s="12" t="s">
        <v>14</v>
      </c>
      <c r="F14" s="11">
        <f>IF(F13&gt;2300,G12,G13)</f>
        <v>2.985862393967955E-2</v>
      </c>
      <c r="G14" s="11"/>
    </row>
    <row r="15" spans="1:7">
      <c r="A15" s="12"/>
      <c r="B15" s="11"/>
      <c r="C15" s="11"/>
    </row>
    <row r="16" spans="1:7">
      <c r="A16" s="13" t="s">
        <v>15</v>
      </c>
      <c r="B16" s="11"/>
      <c r="C16" s="11"/>
    </row>
    <row r="17" spans="1:6">
      <c r="A17" s="5" t="s">
        <v>16</v>
      </c>
      <c r="B17" s="31">
        <f>((B14*B3*998.4*B12^2/(B5*10^-3*2))+(F14*B4/B8*10^-3+B9*B7)*F12^2*998.4/2)</f>
        <v>815.6274663987183</v>
      </c>
      <c r="D17" t="s">
        <v>100</v>
      </c>
      <c r="E17" s="7"/>
    </row>
    <row r="18" spans="1:6">
      <c r="A18" t="s">
        <v>17</v>
      </c>
      <c r="B18" s="64">
        <f>(B14*B3*998.4*B12^2/(B5*10^-3*2))</f>
        <v>798.77909911336508</v>
      </c>
      <c r="D18" t="s">
        <v>110</v>
      </c>
      <c r="E18" s="5"/>
      <c r="F18" s="15"/>
    </row>
    <row r="19" spans="1:6">
      <c r="B19" s="64"/>
    </row>
    <row r="20" spans="1:6">
      <c r="A20" t="s">
        <v>18</v>
      </c>
      <c r="B20" s="65"/>
    </row>
    <row r="21" spans="1:6">
      <c r="A21" s="5" t="s">
        <v>16</v>
      </c>
      <c r="B21" s="31">
        <f>((10^-3*B3*B4*(B2/60/60))^2*8*998.4/PI()^2)*1/(B7*(SQRT((B5*10^-3)^5/(B9*B5*10^-3+B14*B3))))^2</f>
        <v>799.04943700572323</v>
      </c>
      <c r="D21" t="s">
        <v>110</v>
      </c>
    </row>
    <row r="23" spans="1:6">
      <c r="A23" s="66" t="s">
        <v>111</v>
      </c>
      <c r="B23" s="67">
        <f>((10^-3*B3*B4*(B2/60/60))^2*8*998.4/PI()^2)*1/(B7*(SQRT((B5*10^-3)^5/(B9*B5*10^-3+B14*2*B3))))^2+(F14*B4/B8*10^-3+B9*B7)*F12^2*998.4/2*2</f>
        <v>1631.5748905428761</v>
      </c>
      <c r="D23" t="s">
        <v>112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opLeftCell="A29" workbookViewId="0">
      <selection activeCell="K61" sqref="K61"/>
    </sheetView>
  </sheetViews>
  <sheetFormatPr defaultColWidth="11.42578125" defaultRowHeight="12.75"/>
  <cols>
    <col min="1" max="1" width="12.42578125" customWidth="1"/>
    <col min="2" max="2" width="7.7109375" customWidth="1"/>
    <col min="8" max="8" width="27.28515625" customWidth="1"/>
  </cols>
  <sheetData>
    <row r="1" spans="1:17">
      <c r="A1" t="s">
        <v>81</v>
      </c>
    </row>
    <row r="3" spans="1:17">
      <c r="A3" s="5" t="s">
        <v>27</v>
      </c>
      <c r="B3" s="5"/>
      <c r="C3" s="16" t="e">
        <f>#REF!</f>
        <v>#REF!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7">
      <c r="A4" t="s">
        <v>28</v>
      </c>
      <c r="C4" s="17" t="e">
        <f>C15+C18+C23+C26+C30+C34+C44+C49+C53+C58+C63+C68</f>
        <v>#REF!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7">
      <c r="A5" t="s">
        <v>52</v>
      </c>
      <c r="C5" s="26" t="e">
        <f>C15+C18+C23+C26+C30+C34</f>
        <v>#REF!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7">
      <c r="C6" s="26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7">
      <c r="A7" t="s">
        <v>53</v>
      </c>
      <c r="C7" s="26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7">
      <c r="D8" s="3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3"/>
    </row>
    <row r="9" spans="1:17">
      <c r="A9" t="s">
        <v>29</v>
      </c>
    </row>
    <row r="10" spans="1:17">
      <c r="A10" s="7" t="s">
        <v>31</v>
      </c>
      <c r="B10" s="7"/>
      <c r="C10" s="16">
        <v>7</v>
      </c>
      <c r="D10" s="19"/>
      <c r="E10" s="10" t="s">
        <v>12</v>
      </c>
      <c r="F10" s="20" t="e">
        <f>C3/60*21.22/C10^2</f>
        <v>#REF!</v>
      </c>
      <c r="G10" s="21"/>
    </row>
    <row r="11" spans="1:17">
      <c r="D11" s="19"/>
      <c r="E11" s="10"/>
      <c r="F11" s="20"/>
      <c r="G11" s="21"/>
    </row>
    <row r="12" spans="1:17">
      <c r="A12" t="s">
        <v>54</v>
      </c>
      <c r="G12" s="23"/>
    </row>
    <row r="13" spans="1:17">
      <c r="A13" s="5" t="s">
        <v>30</v>
      </c>
      <c r="B13" s="5"/>
      <c r="C13" s="18">
        <v>6.0000000000000001E-3</v>
      </c>
      <c r="D13" s="19"/>
      <c r="E13" s="10" t="s">
        <v>12</v>
      </c>
      <c r="F13" s="20" t="e">
        <f>C3/60*21.22/$C$14^2</f>
        <v>#REF!</v>
      </c>
      <c r="G13" s="21" t="e">
        <f>0.3164*F14^-0.25</f>
        <v>#REF!</v>
      </c>
    </row>
    <row r="14" spans="1:17">
      <c r="A14" s="7" t="s">
        <v>34</v>
      </c>
      <c r="B14" s="7"/>
      <c r="C14" s="16">
        <v>9</v>
      </c>
      <c r="D14" s="19"/>
      <c r="E14" s="10" t="s">
        <v>13</v>
      </c>
      <c r="F14" s="20" t="e">
        <f>F13*C14*10^3</f>
        <v>#REF!</v>
      </c>
      <c r="G14" s="21" t="e">
        <f>64/F14</f>
        <v>#REF!</v>
      </c>
    </row>
    <row r="15" spans="1:17">
      <c r="A15" s="5" t="s">
        <v>35</v>
      </c>
      <c r="B15" s="5"/>
      <c r="C15" s="14" t="e">
        <f>F15*C13*998.4*F13^2/(C14*10^-3*2)</f>
        <v>#REF!</v>
      </c>
      <c r="D15" s="15"/>
      <c r="E15" s="12" t="s">
        <v>14</v>
      </c>
      <c r="F15" s="11" t="e">
        <f>IF(F14&gt;2300,G13,G14)</f>
        <v>#REF!</v>
      </c>
      <c r="G15" s="21"/>
      <c r="H15" s="14" t="e">
        <f>IF(C3/60*21.22/$C$14^2*$C$14*10^3&gt;2300,0.3164*(C3/60*21.22/$C$14^2*$C$14*10^3)^-0.25,64/(C3/60*21.22/$C$14^2*$C$14*10^3))*$C$13*998.4*(C3/60*21.22/$C$14^2)^2/($C$14*10^-3*2)</f>
        <v>#REF!</v>
      </c>
    </row>
    <row r="16" spans="1:17">
      <c r="C16" s="22"/>
      <c r="G16" s="23"/>
    </row>
    <row r="17" spans="1:8">
      <c r="A17" t="s">
        <v>41</v>
      </c>
    </row>
    <row r="18" spans="1:8">
      <c r="A18" s="5" t="s">
        <v>38</v>
      </c>
      <c r="C18" s="27" t="e">
        <f>(1-(PI()/4*$C10^2)/(PI()/4*$C14^2))^2*998/2*$F10^2</f>
        <v>#REF!</v>
      </c>
      <c r="H18" t="e">
        <f>(1-(PI()/4*$C$10^2)/(PI()/4*$C$14^2))^2*998/2*(C3/60*21.22/$C$10^2)^2</f>
        <v>#REF!</v>
      </c>
    </row>
    <row r="20" spans="1:8">
      <c r="A20" t="s">
        <v>55</v>
      </c>
      <c r="G20" s="23"/>
    </row>
    <row r="21" spans="1:8">
      <c r="A21" s="5" t="s">
        <v>30</v>
      </c>
      <c r="B21" s="5"/>
      <c r="C21" s="18">
        <v>1.0999999999999999E-2</v>
      </c>
      <c r="D21" s="19"/>
      <c r="E21" s="10" t="s">
        <v>12</v>
      </c>
      <c r="F21" s="20" t="e">
        <f>C3/60*21.22/$C$22^2</f>
        <v>#REF!</v>
      </c>
      <c r="G21" s="21" t="e">
        <f>0.3164*F22^-0.25</f>
        <v>#REF!</v>
      </c>
    </row>
    <row r="22" spans="1:8">
      <c r="A22" s="7" t="s">
        <v>34</v>
      </c>
      <c r="B22" s="7"/>
      <c r="C22" s="16">
        <v>12.4</v>
      </c>
      <c r="D22" s="19"/>
      <c r="E22" s="10" t="s">
        <v>13</v>
      </c>
      <c r="F22" s="20" t="e">
        <f>F21*C22*10^3</f>
        <v>#REF!</v>
      </c>
      <c r="G22" s="21" t="e">
        <f>64/F22</f>
        <v>#REF!</v>
      </c>
    </row>
    <row r="23" spans="1:8">
      <c r="A23" s="5" t="s">
        <v>35</v>
      </c>
      <c r="B23" s="5"/>
      <c r="C23" s="28" t="e">
        <f>F23*C21*998.4*F21^2/(C22*10^-3*2)</f>
        <v>#REF!</v>
      </c>
      <c r="D23" s="15"/>
      <c r="E23" s="12" t="s">
        <v>14</v>
      </c>
      <c r="F23" s="11" t="e">
        <f>IF(F22&gt;2300,G21,G22)</f>
        <v>#REF!</v>
      </c>
      <c r="G23" s="21"/>
      <c r="H23" s="14" t="e">
        <f>IF(C3/60*21.22/$C$22^2*$C$22*10^3&gt;2300,0.3164*(C3/60*21.22/$C$22^2*$C$22*10^3)^-0.25,64/(C3/60*21.22/$C$22^2*$C$22*10^3))*$C$21*998.4*(C3/60*21.22/$C$22^2)^2/($C$22*10^-3*2)</f>
        <v>#REF!</v>
      </c>
    </row>
    <row r="25" spans="1:8">
      <c r="A25" t="s">
        <v>49</v>
      </c>
      <c r="B25" s="5"/>
      <c r="C25" s="22"/>
      <c r="D25" s="15"/>
      <c r="E25" s="12"/>
      <c r="F25" s="11"/>
      <c r="G25" s="11"/>
    </row>
    <row r="26" spans="1:8">
      <c r="A26" s="5" t="s">
        <v>40</v>
      </c>
      <c r="C26" s="27" t="e">
        <f>(1-(PI()/4*C14^2)/(PI()/4*C22^2))^2*998/2*F13^2</f>
        <v>#REF!</v>
      </c>
      <c r="D26" s="15"/>
      <c r="E26" s="12"/>
      <c r="F26" s="11"/>
      <c r="G26" s="11"/>
      <c r="H26" s="27" t="e">
        <f>(1-(PI()/4*$C$14^2)/(PI()/4*$C$22^2))^2*998/2*(C3/60*21.22/$C$14^2)^2</f>
        <v>#REF!</v>
      </c>
    </row>
    <row r="27" spans="1:8">
      <c r="A27" s="5"/>
      <c r="D27" s="15"/>
      <c r="E27" s="12"/>
      <c r="F27" s="11"/>
      <c r="G27" s="11"/>
    </row>
    <row r="28" spans="1:8">
      <c r="A28" s="5" t="s">
        <v>56</v>
      </c>
      <c r="B28" s="5"/>
      <c r="C28" s="22"/>
      <c r="D28" s="15"/>
      <c r="E28" s="12"/>
      <c r="F28" s="11"/>
      <c r="G28" s="21"/>
      <c r="H28" s="22"/>
    </row>
    <row r="29" spans="1:8">
      <c r="A29" s="5" t="s">
        <v>57</v>
      </c>
      <c r="B29" s="5"/>
      <c r="C29" s="29">
        <v>1</v>
      </c>
      <c r="D29" s="15"/>
      <c r="E29" s="12"/>
      <c r="F29" s="11"/>
      <c r="G29" s="21"/>
      <c r="H29" s="22"/>
    </row>
    <row r="30" spans="1:8">
      <c r="A30" s="5" t="s">
        <v>58</v>
      </c>
      <c r="B30" s="5"/>
      <c r="C30" s="28" t="e">
        <f>C29*998/2*F13^2</f>
        <v>#REF!</v>
      </c>
      <c r="D30" s="15"/>
      <c r="E30" s="12"/>
      <c r="F30" s="11"/>
      <c r="G30" s="21"/>
      <c r="H30" s="28" t="e">
        <f>$C$29*998/2*(C3/60*21.22/$C$14^2)^2</f>
        <v>#REF!</v>
      </c>
    </row>
    <row r="31" spans="1:8">
      <c r="A31" s="5"/>
      <c r="B31" s="5"/>
      <c r="C31" s="22"/>
      <c r="D31" s="15"/>
      <c r="E31" s="12"/>
      <c r="F31" s="11"/>
      <c r="G31" s="21"/>
      <c r="H31" s="22"/>
    </row>
    <row r="32" spans="1:8">
      <c r="A32" t="s">
        <v>59</v>
      </c>
      <c r="B32" s="5"/>
      <c r="C32" s="22"/>
      <c r="D32" s="15"/>
      <c r="E32" s="12"/>
      <c r="F32" s="11"/>
      <c r="G32" s="21"/>
      <c r="H32" s="22"/>
    </row>
    <row r="33" spans="1:8">
      <c r="A33" s="7" t="s">
        <v>60</v>
      </c>
      <c r="C33" s="29">
        <v>16</v>
      </c>
      <c r="D33" s="15"/>
      <c r="E33" s="12"/>
      <c r="F33" s="11"/>
      <c r="G33" s="21"/>
      <c r="H33" s="22"/>
    </row>
    <row r="34" spans="1:8">
      <c r="A34" s="5" t="s">
        <v>40</v>
      </c>
      <c r="C34" s="27" t="e">
        <f>(1-(PI()/4*C22^2)/(PI()/4*C33^2))^2*998/2*F21^2</f>
        <v>#REF!</v>
      </c>
      <c r="D34" s="15"/>
      <c r="E34" s="12"/>
      <c r="F34" s="11"/>
      <c r="G34" s="21"/>
      <c r="H34" s="27" t="e">
        <f>(1-(PI()/4*$C$22^2)/(PI()/4*$C$33^2))^2*998/2*(C3/60*21.22/$C$22^2)^2</f>
        <v>#REF!</v>
      </c>
    </row>
    <row r="35" spans="1:8">
      <c r="A35" s="5"/>
      <c r="B35" s="5"/>
      <c r="C35" s="22"/>
      <c r="D35" s="15"/>
      <c r="E35" s="12"/>
      <c r="F35" s="11"/>
      <c r="G35" s="21"/>
      <c r="H35" s="22"/>
    </row>
    <row r="36" spans="1:8">
      <c r="A36" s="5"/>
      <c r="B36" s="5"/>
      <c r="C36" s="22"/>
      <c r="D36" s="15"/>
      <c r="E36" s="12"/>
      <c r="F36" s="11"/>
      <c r="G36" s="21"/>
      <c r="H36" s="22"/>
    </row>
    <row r="37" spans="1:8">
      <c r="A37" s="5" t="s">
        <v>61</v>
      </c>
      <c r="B37" s="5"/>
      <c r="C37" s="22"/>
      <c r="D37" s="15"/>
      <c r="E37" s="12"/>
      <c r="F37" s="11"/>
      <c r="G37" s="11"/>
    </row>
    <row r="38" spans="1:8">
      <c r="A38" s="5"/>
      <c r="B38" s="5"/>
      <c r="C38" s="22"/>
      <c r="D38" s="15"/>
      <c r="E38" s="12"/>
      <c r="F38" s="11"/>
      <c r="G38" s="11"/>
    </row>
    <row r="39" spans="1:8">
      <c r="A39" s="7" t="s">
        <v>60</v>
      </c>
      <c r="C39" s="29">
        <v>16</v>
      </c>
      <c r="D39" s="15"/>
      <c r="E39" s="10" t="s">
        <v>12</v>
      </c>
      <c r="F39" s="20" t="e">
        <f>C3/60*21.22/C39^2</f>
        <v>#REF!</v>
      </c>
      <c r="G39" s="11"/>
    </row>
    <row r="40" spans="1:8">
      <c r="G40" s="11"/>
    </row>
    <row r="41" spans="1:8">
      <c r="A41" t="s">
        <v>36</v>
      </c>
      <c r="B41" s="5"/>
      <c r="C41" s="22"/>
      <c r="D41" s="15"/>
      <c r="E41" s="12"/>
      <c r="F41" s="11"/>
      <c r="G41" s="11"/>
    </row>
    <row r="42" spans="1:8">
      <c r="A42" s="7" t="s">
        <v>62</v>
      </c>
      <c r="C42" s="29">
        <v>12.4</v>
      </c>
      <c r="D42" s="15"/>
      <c r="E42" s="10" t="s">
        <v>12</v>
      </c>
      <c r="F42" s="20" t="e">
        <f>C3/60*21.22/C42^2</f>
        <v>#REF!</v>
      </c>
      <c r="G42" s="11"/>
    </row>
    <row r="43" spans="1:8">
      <c r="A43" s="30" t="s">
        <v>63</v>
      </c>
      <c r="C43" s="29">
        <v>0.63</v>
      </c>
      <c r="D43" s="15"/>
      <c r="E43" s="12"/>
      <c r="F43" s="11"/>
      <c r="G43" s="11"/>
    </row>
    <row r="44" spans="1:8">
      <c r="A44" s="5" t="s">
        <v>40</v>
      </c>
      <c r="C44" s="27" t="e">
        <f>(1/$C$43-1)^2*(1-(PI()/4*$C$42^2/(PI()/4*$C$39^2)))*998/2*$F$42^2</f>
        <v>#REF!</v>
      </c>
      <c r="D44" s="15"/>
      <c r="E44" s="12"/>
      <c r="F44" s="11"/>
      <c r="G44" s="11"/>
    </row>
    <row r="45" spans="1:8">
      <c r="A45" s="5"/>
      <c r="D45" s="15"/>
      <c r="E45" s="12"/>
      <c r="F45" s="11"/>
      <c r="G45" s="11"/>
    </row>
    <row r="46" spans="1:8">
      <c r="A46" t="s">
        <v>55</v>
      </c>
      <c r="G46" s="23"/>
    </row>
    <row r="47" spans="1:8">
      <c r="A47" s="5" t="s">
        <v>30</v>
      </c>
      <c r="B47" s="5"/>
      <c r="C47" s="18">
        <v>1.0999999999999999E-2</v>
      </c>
      <c r="D47" s="19"/>
      <c r="E47" s="10" t="s">
        <v>12</v>
      </c>
      <c r="F47" s="20" t="e">
        <f>C3/60*21.22/C42^2</f>
        <v>#REF!</v>
      </c>
      <c r="G47" s="21" t="e">
        <f>0.3164*F42^-0.25</f>
        <v>#REF!</v>
      </c>
    </row>
    <row r="48" spans="1:8">
      <c r="A48" s="7"/>
      <c r="B48" s="7"/>
      <c r="C48" s="16"/>
      <c r="D48" s="19"/>
      <c r="E48" s="10" t="s">
        <v>13</v>
      </c>
      <c r="F48" s="20" t="e">
        <f>F47*C42*10^3</f>
        <v>#REF!</v>
      </c>
      <c r="G48" s="21" t="e">
        <f>64/F48</f>
        <v>#REF!</v>
      </c>
    </row>
    <row r="49" spans="1:8">
      <c r="A49" s="5" t="s">
        <v>35</v>
      </c>
      <c r="B49" s="5"/>
      <c r="C49" s="28" t="e">
        <f>F49*C47*998.4*F47^2/(C42*10^-3*2)</f>
        <v>#REF!</v>
      </c>
      <c r="D49" s="15"/>
      <c r="E49" s="12" t="s">
        <v>14</v>
      </c>
      <c r="F49" s="11" t="e">
        <f>IF(F48&gt;2300,G47,G48)</f>
        <v>#REF!</v>
      </c>
      <c r="G49" s="21"/>
      <c r="H49" s="14" t="e">
        <f>IF($C$3/60*21.22/$C$22^2*$C$22*10^3&gt;2300,0.3164*($C$3/60*21.22/$C$22^2*$C$22*10^3)^-0.25,64/($C$3/60*21.22/$C$22^2*$C$22*10^3))*$C$21*998.4*($C$3/60*21.22/$C$22^2)^2/($C$22*10^-3*2)</f>
        <v>#REF!</v>
      </c>
    </row>
    <row r="50" spans="1:8">
      <c r="A50" s="5"/>
      <c r="B50" s="5"/>
      <c r="C50" s="31"/>
      <c r="D50" s="15"/>
      <c r="E50" s="12"/>
      <c r="F50" s="11"/>
      <c r="G50" s="21"/>
      <c r="H50" s="22"/>
    </row>
    <row r="51" spans="1:8">
      <c r="A51" s="5" t="s">
        <v>56</v>
      </c>
      <c r="B51" s="5"/>
      <c r="C51" s="22"/>
      <c r="D51" s="15"/>
      <c r="E51" s="12"/>
      <c r="F51" s="11"/>
      <c r="G51" s="11"/>
    </row>
    <row r="52" spans="1:8">
      <c r="A52" s="5" t="s">
        <v>57</v>
      </c>
      <c r="B52" s="5"/>
      <c r="C52" s="29">
        <v>1</v>
      </c>
      <c r="D52" s="15"/>
      <c r="E52" s="12"/>
      <c r="F52" s="11"/>
      <c r="G52" s="11"/>
    </row>
    <row r="53" spans="1:8">
      <c r="A53" s="5" t="s">
        <v>58</v>
      </c>
      <c r="B53" s="5"/>
      <c r="C53" s="28" t="e">
        <f>C52*998/2*$F$56^2</f>
        <v>#REF!</v>
      </c>
      <c r="D53" s="15"/>
      <c r="E53" s="12"/>
      <c r="F53" s="11"/>
      <c r="G53" s="11"/>
    </row>
    <row r="54" spans="1:8">
      <c r="A54" s="5"/>
      <c r="B54" s="5"/>
      <c r="C54" s="22"/>
      <c r="D54" s="15"/>
      <c r="E54" s="12"/>
      <c r="F54" s="11"/>
      <c r="G54" s="11"/>
    </row>
    <row r="55" spans="1:8">
      <c r="A55" t="s">
        <v>45</v>
      </c>
    </row>
    <row r="56" spans="1:8">
      <c r="A56" s="7" t="s">
        <v>34</v>
      </c>
      <c r="B56" s="7"/>
      <c r="C56" s="16">
        <v>9</v>
      </c>
      <c r="E56" s="10" t="s">
        <v>12</v>
      </c>
      <c r="F56" s="20" t="e">
        <f>C3/60*21.22/C56^2</f>
        <v>#REF!</v>
      </c>
    </row>
    <row r="57" spans="1:8">
      <c r="A57" t="s">
        <v>37</v>
      </c>
      <c r="C57" s="8">
        <v>0.63</v>
      </c>
    </row>
    <row r="58" spans="1:8">
      <c r="A58" s="5" t="s">
        <v>38</v>
      </c>
      <c r="C58" s="27" t="e">
        <f>(1/$C$57-1)^2*(1-(PI()/4*$C$56^2/(PI()/4*$C$42^2)))*998/2*$F$56^2</f>
        <v>#REF!</v>
      </c>
    </row>
    <row r="59" spans="1:8">
      <c r="A59" s="5"/>
    </row>
    <row r="60" spans="1:8">
      <c r="A60" t="s">
        <v>54</v>
      </c>
      <c r="G60" s="23"/>
    </row>
    <row r="61" spans="1:8">
      <c r="A61" s="5" t="s">
        <v>30</v>
      </c>
      <c r="B61" s="5"/>
      <c r="C61" s="18">
        <v>6.0000000000000001E-3</v>
      </c>
      <c r="D61" s="19"/>
      <c r="G61" s="21" t="e">
        <f>0.3164*F62^-0.25</f>
        <v>#REF!</v>
      </c>
    </row>
    <row r="62" spans="1:8">
      <c r="C62" s="32"/>
      <c r="D62" s="19"/>
      <c r="E62" s="10" t="s">
        <v>13</v>
      </c>
      <c r="F62" s="20" t="e">
        <f>F56*C56*10^3</f>
        <v>#REF!</v>
      </c>
      <c r="G62" s="21" t="e">
        <f>64/F62</f>
        <v>#REF!</v>
      </c>
    </row>
    <row r="63" spans="1:8">
      <c r="A63" s="5" t="s">
        <v>35</v>
      </c>
      <c r="B63" s="5"/>
      <c r="C63" s="14" t="e">
        <f>F63*C61*998.4*F56^2/(C56*10^-3*2)</f>
        <v>#REF!</v>
      </c>
      <c r="D63" s="15"/>
      <c r="E63" s="12" t="s">
        <v>14</v>
      </c>
      <c r="F63" s="11" t="e">
        <f>IF(F62&gt;2300,G61,G62)</f>
        <v>#REF!</v>
      </c>
      <c r="G63" s="21"/>
      <c r="H63" s="14" t="e">
        <f>IF($C$3/60*21.22/$C$14^2*$C$14*10^3&gt;2300,0.3164*($C$3/60*21.22/$C$14^2*$C$14*10^3)^-0.25,64/($C$3/60*21.22/$C$14^2*$C$14*10^3))*$C$13*998.4*($C$3/60*21.22/$C$14^2)^2/($C$14*10^-3*2)</f>
        <v>#REF!</v>
      </c>
    </row>
    <row r="65" spans="1:6">
      <c r="A65" t="s">
        <v>64</v>
      </c>
    </row>
    <row r="66" spans="1:6">
      <c r="A66" s="7" t="s">
        <v>34</v>
      </c>
      <c r="B66" s="7"/>
      <c r="C66" s="16">
        <v>7</v>
      </c>
      <c r="E66" s="10" t="s">
        <v>12</v>
      </c>
      <c r="F66" s="20" t="e">
        <f>C3/60*21.22/C66^2</f>
        <v>#REF!</v>
      </c>
    </row>
    <row r="67" spans="1:6">
      <c r="A67" t="s">
        <v>37</v>
      </c>
      <c r="C67" s="8">
        <v>0.63</v>
      </c>
    </row>
    <row r="68" spans="1:6">
      <c r="A68" s="5" t="s">
        <v>38</v>
      </c>
      <c r="C68" s="27" t="e">
        <f>(1/$C$67-1)^2*(1-(PI()/4*$C$66^2/(PI()/4*$C$56^2)))*998/2*$F$66^2</f>
        <v>#REF!</v>
      </c>
    </row>
    <row r="70" spans="1:6">
      <c r="A70" t="s">
        <v>82</v>
      </c>
      <c r="D70" s="33"/>
    </row>
    <row r="71" spans="1:6">
      <c r="A71" t="s">
        <v>83</v>
      </c>
      <c r="C71">
        <v>1.5</v>
      </c>
      <c r="D71" t="e">
        <f>E71</f>
        <v>#REF!</v>
      </c>
      <c r="E71" t="e">
        <f>IF(E72=1,C5,IF(E72=2,D73,IF(E72=3,D74,IF(E72=4,D75,IF(E72=5,D76,IF(E72=6,D77,IF(E72=7,D78,IF(E72=8,D79,F71))))))))</f>
        <v>#REF!</v>
      </c>
      <c r="F71" t="e">
        <f>IF(E72=9,D80,IF(E72=10,D81,IF(E72=11,D82,D83)))</f>
        <v>#REF!</v>
      </c>
    </row>
    <row r="72" spans="1:6">
      <c r="E72" s="40" t="e">
        <f>#REF!</f>
        <v>#REF!</v>
      </c>
    </row>
    <row r="73" spans="1:6">
      <c r="A73" t="s">
        <v>84</v>
      </c>
      <c r="C73" s="39" t="e">
        <f>$C$71*#REF!^2*500</f>
        <v>#REF!</v>
      </c>
      <c r="D73" s="39" t="e">
        <f>C5+C73</f>
        <v>#REF!</v>
      </c>
    </row>
    <row r="74" spans="1:6">
      <c r="A74" t="s">
        <v>85</v>
      </c>
      <c r="C74" s="39" t="e">
        <f>$C$71*#REF!^2*500</f>
        <v>#REF!</v>
      </c>
      <c r="D74" s="39" t="e">
        <f>D73+C74</f>
        <v>#REF!</v>
      </c>
    </row>
    <row r="75" spans="1:6">
      <c r="A75" t="s">
        <v>86</v>
      </c>
      <c r="C75" s="39" t="e">
        <f>$C$71*#REF!^2*500</f>
        <v>#REF!</v>
      </c>
      <c r="D75" s="39" t="e">
        <f t="shared" ref="D75:D83" si="0">D74+C75</f>
        <v>#REF!</v>
      </c>
    </row>
    <row r="76" spans="1:6">
      <c r="A76" t="s">
        <v>87</v>
      </c>
      <c r="C76" s="39" t="e">
        <f>$C$71*#REF!^2*500</f>
        <v>#REF!</v>
      </c>
      <c r="D76" s="39" t="e">
        <f t="shared" si="0"/>
        <v>#REF!</v>
      </c>
    </row>
    <row r="77" spans="1:6">
      <c r="A77" t="s">
        <v>88</v>
      </c>
      <c r="C77" s="39" t="e">
        <f>$C$71*#REF!^2*500</f>
        <v>#REF!</v>
      </c>
      <c r="D77" s="39" t="e">
        <f t="shared" si="0"/>
        <v>#REF!</v>
      </c>
    </row>
    <row r="78" spans="1:6">
      <c r="A78" t="s">
        <v>89</v>
      </c>
      <c r="C78" s="39" t="e">
        <f>$C$71*#REF!^2*500</f>
        <v>#REF!</v>
      </c>
      <c r="D78" s="39" t="e">
        <f t="shared" si="0"/>
        <v>#REF!</v>
      </c>
    </row>
    <row r="79" spans="1:6">
      <c r="A79" t="s">
        <v>90</v>
      </c>
      <c r="C79" s="39" t="e">
        <f>$C$71*#REF!^2*500</f>
        <v>#REF!</v>
      </c>
      <c r="D79" s="39" t="e">
        <f t="shared" si="0"/>
        <v>#REF!</v>
      </c>
    </row>
    <row r="80" spans="1:6">
      <c r="A80" t="s">
        <v>91</v>
      </c>
      <c r="C80" s="39" t="e">
        <f>$C$71*#REF!^2*500</f>
        <v>#REF!</v>
      </c>
      <c r="D80" s="39" t="e">
        <f t="shared" si="0"/>
        <v>#REF!</v>
      </c>
    </row>
    <row r="81" spans="1:4">
      <c r="A81" t="s">
        <v>92</v>
      </c>
      <c r="C81" s="39" t="e">
        <f>$C$71*#REF!^2*500</f>
        <v>#REF!</v>
      </c>
      <c r="D81" s="39" t="e">
        <f t="shared" si="0"/>
        <v>#REF!</v>
      </c>
    </row>
    <row r="82" spans="1:4">
      <c r="A82" t="s">
        <v>93</v>
      </c>
      <c r="C82" s="39" t="e">
        <f>$C$71*#REF!^2*500</f>
        <v>#REF!</v>
      </c>
      <c r="D82" s="39" t="e">
        <f t="shared" si="0"/>
        <v>#REF!</v>
      </c>
    </row>
    <row r="83" spans="1:4">
      <c r="A83" t="s">
        <v>94</v>
      </c>
      <c r="C83" s="39" t="e">
        <f>$C$71*#REF!^2*500</f>
        <v>#REF!</v>
      </c>
      <c r="D83" s="39" t="e">
        <f t="shared" si="0"/>
        <v>#REF!</v>
      </c>
    </row>
    <row r="101" ht="14.45" customHeight="1"/>
  </sheetData>
  <phoneticPr fontId="0" type="noConversion"/>
  <pageMargins left="1.86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E29" sqref="E29"/>
    </sheetView>
  </sheetViews>
  <sheetFormatPr defaultColWidth="11.42578125" defaultRowHeight="12.75"/>
  <cols>
    <col min="1" max="1" width="21.7109375" customWidth="1"/>
    <col min="2" max="2" width="11.5703125" bestFit="1" customWidth="1"/>
  </cols>
  <sheetData>
    <row r="1" spans="1:7">
      <c r="A1" t="s">
        <v>21</v>
      </c>
    </row>
    <row r="2" spans="1:7">
      <c r="A2" s="5" t="s">
        <v>1</v>
      </c>
      <c r="B2" s="6">
        <f>'Reihenschaltung mit Schläuchen'!$G$15</f>
        <v>142.91200000000001</v>
      </c>
    </row>
    <row r="3" spans="1:7">
      <c r="A3" s="5" t="s">
        <v>2</v>
      </c>
      <c r="B3" s="6">
        <f>'Reihenschaltung mit Schläuchen'!$G$10</f>
        <v>1.1000000000000001</v>
      </c>
    </row>
    <row r="4" spans="1:7">
      <c r="A4" s="5" t="s">
        <v>3</v>
      </c>
      <c r="B4" s="6">
        <f>'Reihenschaltung mit Schläuchen'!$G$11</f>
        <v>0.57999999999999996</v>
      </c>
    </row>
    <row r="5" spans="1:7">
      <c r="A5" s="7" t="s">
        <v>4</v>
      </c>
      <c r="B5" s="6">
        <v>2.2999999999999998</v>
      </c>
    </row>
    <row r="6" spans="1:7">
      <c r="A6" t="s">
        <v>5</v>
      </c>
      <c r="B6" s="8">
        <v>20</v>
      </c>
    </row>
    <row r="7" spans="1:7">
      <c r="A7" t="s">
        <v>6</v>
      </c>
      <c r="B7" s="9">
        <f>ROUND((B4-0.04)/B6*1000,0)</f>
        <v>27</v>
      </c>
      <c r="C7" t="s">
        <v>7</v>
      </c>
    </row>
    <row r="8" spans="1:7">
      <c r="A8" s="7" t="s">
        <v>8</v>
      </c>
      <c r="B8" s="6">
        <v>16</v>
      </c>
    </row>
    <row r="9" spans="1:7">
      <c r="A9" s="7" t="s">
        <v>9</v>
      </c>
      <c r="B9" s="6">
        <v>0.04</v>
      </c>
    </row>
    <row r="11" spans="1:7">
      <c r="A11" t="s">
        <v>10</v>
      </c>
      <c r="E11" t="s">
        <v>11</v>
      </c>
    </row>
    <row r="12" spans="1:7">
      <c r="A12" s="10" t="s">
        <v>12</v>
      </c>
      <c r="B12" s="11">
        <f>B2/60/B7*21.22/B5^2</f>
        <v>0.35386970991154992</v>
      </c>
      <c r="C12" s="11">
        <f>0.3164*B13^-0.25</f>
        <v>5.9237083520003113E-2</v>
      </c>
      <c r="E12" s="10" t="s">
        <v>12</v>
      </c>
      <c r="F12" s="11">
        <f>B2/60*21.22/B8^2</f>
        <v>0.19743441666666667</v>
      </c>
      <c r="G12" s="11">
        <f>0.3164*F13^-0.25</f>
        <v>4.220372300055579E-2</v>
      </c>
    </row>
    <row r="13" spans="1:7">
      <c r="A13" s="10" t="s">
        <v>13</v>
      </c>
      <c r="B13" s="11">
        <f>B12*B5*10^3</f>
        <v>813.90033279656473</v>
      </c>
      <c r="C13" s="11">
        <f>64/B13</f>
        <v>7.863370663591665E-2</v>
      </c>
      <c r="E13" s="10" t="s">
        <v>13</v>
      </c>
      <c r="F13" s="11">
        <f>F12*B8*10^3</f>
        <v>3158.9506666666666</v>
      </c>
      <c r="G13" s="11">
        <f>64/F13</f>
        <v>2.0259892208931828E-2</v>
      </c>
    </row>
    <row r="14" spans="1:7">
      <c r="A14" s="12" t="s">
        <v>14</v>
      </c>
      <c r="B14" s="11">
        <f>IF(B13&gt;2300,C12,C13)</f>
        <v>7.863370663591665E-2</v>
      </c>
      <c r="C14" s="11"/>
      <c r="E14" s="12" t="s">
        <v>14</v>
      </c>
      <c r="F14" s="11">
        <f>IF(F13&gt;2300,G12,G13)</f>
        <v>4.220372300055579E-2</v>
      </c>
      <c r="G14" s="11"/>
    </row>
    <row r="15" spans="1:7">
      <c r="A15" s="12"/>
      <c r="B15" s="11"/>
      <c r="C15" s="11"/>
    </row>
    <row r="16" spans="1:7">
      <c r="A16" s="13" t="s">
        <v>15</v>
      </c>
      <c r="B16" s="11"/>
      <c r="C16" s="11"/>
    </row>
    <row r="17" spans="1:6">
      <c r="A17" s="5" t="s">
        <v>16</v>
      </c>
      <c r="B17" s="14">
        <f>((B14*B3*998.4*B12^2/(B5*10^-3*2))+(F14*B4/(B8*10^-3)+B9*B7)*F12^2*998.4/2)*2</f>
        <v>4803.3800892200743</v>
      </c>
      <c r="E17" s="7"/>
    </row>
    <row r="18" spans="1:6">
      <c r="A18" t="s">
        <v>17</v>
      </c>
      <c r="B18" s="15">
        <f>(B14*B3*998.4*B12^2/(B5*10^-3*2))*2</f>
        <v>4701.8086377407726</v>
      </c>
      <c r="E18" s="5"/>
      <c r="F18" s="15"/>
    </row>
    <row r="19" spans="1:6">
      <c r="B19" s="15"/>
    </row>
    <row r="20" spans="1:6">
      <c r="A20" t="s">
        <v>18</v>
      </c>
    </row>
    <row r="21" spans="1:6">
      <c r="A21" s="5" t="s">
        <v>16</v>
      </c>
      <c r="B21" s="14">
        <f>((10^-3*B3*B4*(B2/60/60))^2*8*998.4/PI()^2)*1/(B7*(SQRT((B5*10^-3)^5/(B9*B5*10^-3+B14*2*B3))))^2</f>
        <v>1914.9797461700628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17" sqref="B17"/>
    </sheetView>
  </sheetViews>
  <sheetFormatPr defaultColWidth="11.42578125" defaultRowHeight="12.75"/>
  <cols>
    <col min="1" max="1" width="25.42578125" customWidth="1"/>
    <col min="2" max="2" width="11.5703125" bestFit="1" customWidth="1"/>
  </cols>
  <sheetData>
    <row r="1" spans="1:7">
      <c r="A1" t="s">
        <v>22</v>
      </c>
    </row>
    <row r="2" spans="1:7">
      <c r="A2" s="5" t="s">
        <v>1</v>
      </c>
      <c r="B2" s="6">
        <f>'Druckverlust der K - BeKa Matte'!$G$13</f>
        <v>30</v>
      </c>
    </row>
    <row r="3" spans="1:7">
      <c r="A3" s="5" t="s">
        <v>2</v>
      </c>
      <c r="B3" s="6">
        <f>'Druckverlust der K - BeKa Matte'!$G$10</f>
        <v>1</v>
      </c>
    </row>
    <row r="4" spans="1:7">
      <c r="A4" s="5" t="s">
        <v>3</v>
      </c>
      <c r="B4" s="6">
        <f>'Druckverlust der K - BeKa Matte'!$G$11</f>
        <v>0.4</v>
      </c>
    </row>
    <row r="5" spans="1:7">
      <c r="A5" s="7" t="s">
        <v>4</v>
      </c>
      <c r="B5" s="6">
        <v>2.2999999999999998</v>
      </c>
    </row>
    <row r="6" spans="1:7">
      <c r="A6" t="s">
        <v>5</v>
      </c>
      <c r="B6" s="8">
        <v>10</v>
      </c>
    </row>
    <row r="7" spans="1:7">
      <c r="A7" t="s">
        <v>6</v>
      </c>
      <c r="B7" s="9">
        <f>ROUND((B4-0.04)/B6*1000,0)</f>
        <v>36</v>
      </c>
      <c r="C7" t="s">
        <v>7</v>
      </c>
    </row>
    <row r="8" spans="1:7">
      <c r="A8" s="7" t="s">
        <v>8</v>
      </c>
      <c r="B8" s="6">
        <v>16</v>
      </c>
    </row>
    <row r="9" spans="1:7">
      <c r="A9" s="7" t="s">
        <v>9</v>
      </c>
      <c r="B9" s="6">
        <v>0.04</v>
      </c>
    </row>
    <row r="11" spans="1:7">
      <c r="A11" t="s">
        <v>10</v>
      </c>
      <c r="E11" t="s">
        <v>11</v>
      </c>
    </row>
    <row r="12" spans="1:7">
      <c r="A12" s="10" t="s">
        <v>12</v>
      </c>
      <c r="B12" s="11">
        <f>B3*B4*B2/60/B7*21.22/B5^2</f>
        <v>2.2285234194496958E-2</v>
      </c>
      <c r="C12" s="11">
        <f>0.3164*B13^-0.25</f>
        <v>0.11824974563693091</v>
      </c>
      <c r="E12" s="10" t="s">
        <v>12</v>
      </c>
      <c r="F12" s="11">
        <f>B3*B4*B2/60*21.22/B8^2</f>
        <v>1.6578124999999999E-2</v>
      </c>
      <c r="G12" s="11">
        <f>0.3164*F13^-0.25</f>
        <v>7.8401184959382128E-2</v>
      </c>
    </row>
    <row r="13" spans="1:7">
      <c r="A13" s="10" t="s">
        <v>13</v>
      </c>
      <c r="B13" s="11">
        <f>B12*B5*10^3</f>
        <v>51.256038647342997</v>
      </c>
      <c r="C13" s="11">
        <f>64/B13</f>
        <v>1.2486333647502357</v>
      </c>
      <c r="E13" s="10" t="s">
        <v>13</v>
      </c>
      <c r="F13" s="11">
        <f>F12*B8*10^3</f>
        <v>265.25</v>
      </c>
      <c r="G13" s="11">
        <f>64/F13</f>
        <v>0.2412818096135721</v>
      </c>
    </row>
    <row r="14" spans="1:7">
      <c r="A14" s="12" t="s">
        <v>14</v>
      </c>
      <c r="B14" s="11">
        <f>IF(B13&gt;2300,C12,C13)</f>
        <v>1.2486333647502357</v>
      </c>
      <c r="C14" s="11"/>
      <c r="E14" s="12" t="s">
        <v>14</v>
      </c>
      <c r="F14" s="11">
        <f>IF(F13&gt;2300,G12,G13)</f>
        <v>0.2412818096135721</v>
      </c>
      <c r="G14" s="11"/>
    </row>
    <row r="15" spans="1:7">
      <c r="A15" s="12"/>
      <c r="B15" s="11"/>
      <c r="C15" s="11"/>
    </row>
    <row r="16" spans="1:7">
      <c r="A16" s="13" t="s">
        <v>15</v>
      </c>
      <c r="B16" s="11"/>
      <c r="C16" s="11"/>
    </row>
    <row r="17" spans="1:6">
      <c r="A17" s="5" t="s">
        <v>16</v>
      </c>
      <c r="B17" s="14">
        <f>((B14*B3*998.4*B12^2/(B5*10^-3*2))+(F14*B4/(B8*10^-3)+B9*B7)*F12^2*998.4/2)</f>
        <v>135.61616298316437</v>
      </c>
      <c r="E17" s="7"/>
    </row>
    <row r="18" spans="1:6">
      <c r="A18" t="s">
        <v>17</v>
      </c>
      <c r="B18" s="15">
        <f>(B14*B3*998.4*B12^2/(B5*10^-3*2))</f>
        <v>134.59101894766437</v>
      </c>
      <c r="E18" s="5"/>
      <c r="F18" s="15"/>
    </row>
    <row r="19" spans="1:6">
      <c r="B19" s="15"/>
    </row>
    <row r="20" spans="1:6">
      <c r="A20" t="s">
        <v>18</v>
      </c>
    </row>
    <row r="21" spans="1:6">
      <c r="A21" s="5" t="s">
        <v>16</v>
      </c>
      <c r="B21" s="14">
        <f>((10^-3*B3*B4*(B2/60/60))^2*8*998.4/PI()^2)*1/(B7*(SQRT((B5*10^-3)^5/(B9*B5*10^-3+B14*B3))))^2</f>
        <v>134.60929704751788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E29" sqref="E29"/>
    </sheetView>
  </sheetViews>
  <sheetFormatPr defaultColWidth="11.42578125" defaultRowHeight="12.75"/>
  <cols>
    <col min="1" max="1" width="25.42578125" customWidth="1"/>
    <col min="2" max="2" width="11.5703125" bestFit="1" customWidth="1"/>
  </cols>
  <sheetData>
    <row r="1" spans="1:7">
      <c r="A1" t="s">
        <v>22</v>
      </c>
    </row>
    <row r="2" spans="1:7">
      <c r="A2" s="5" t="s">
        <v>1</v>
      </c>
      <c r="B2" s="6">
        <f>'Reihenschaltung mit Schläuchen'!$G$15</f>
        <v>142.91200000000001</v>
      </c>
    </row>
    <row r="3" spans="1:7">
      <c r="A3" s="5" t="s">
        <v>2</v>
      </c>
      <c r="B3" s="6">
        <f>'Reihenschaltung mit Schläuchen'!$G$10</f>
        <v>1.1000000000000001</v>
      </c>
    </row>
    <row r="4" spans="1:7">
      <c r="A4" s="5" t="s">
        <v>3</v>
      </c>
      <c r="B4" s="6">
        <f>'Reihenschaltung mit Schläuchen'!$G$11</f>
        <v>0.57999999999999996</v>
      </c>
    </row>
    <row r="5" spans="1:7">
      <c r="A5" s="7" t="s">
        <v>4</v>
      </c>
      <c r="B5" s="6">
        <v>2.2999999999999998</v>
      </c>
    </row>
    <row r="6" spans="1:7">
      <c r="A6" t="s">
        <v>5</v>
      </c>
      <c r="B6" s="8">
        <v>10</v>
      </c>
    </row>
    <row r="7" spans="1:7">
      <c r="A7" t="s">
        <v>6</v>
      </c>
      <c r="B7" s="9">
        <f>ROUND((B4-0.04)/B6*1000,0)</f>
        <v>54</v>
      </c>
      <c r="C7" t="s">
        <v>7</v>
      </c>
    </row>
    <row r="8" spans="1:7">
      <c r="A8" s="7" t="s">
        <v>8</v>
      </c>
      <c r="B8" s="6">
        <v>16</v>
      </c>
    </row>
    <row r="9" spans="1:7">
      <c r="A9" s="7" t="s">
        <v>9</v>
      </c>
      <c r="B9" s="6">
        <v>0.04</v>
      </c>
    </row>
    <row r="11" spans="1:7">
      <c r="A11" t="s">
        <v>10</v>
      </c>
      <c r="E11" t="s">
        <v>11</v>
      </c>
    </row>
    <row r="12" spans="1:7">
      <c r="A12" s="10" t="s">
        <v>12</v>
      </c>
      <c r="B12" s="11">
        <f>B2/60/B7*21.22/B5^2</f>
        <v>0.17693485495577496</v>
      </c>
      <c r="C12" s="11">
        <f>0.3164*B13^-0.25</f>
        <v>7.0445161193998143E-2</v>
      </c>
      <c r="E12" s="10" t="s">
        <v>12</v>
      </c>
      <c r="F12" s="11">
        <f>B2/60*21.22/B8^2</f>
        <v>0.19743441666666667</v>
      </c>
      <c r="G12" s="11">
        <f>0.3164*F13^-0.25</f>
        <v>4.220372300055579E-2</v>
      </c>
    </row>
    <row r="13" spans="1:7">
      <c r="A13" s="10" t="s">
        <v>13</v>
      </c>
      <c r="B13" s="11">
        <f>B12*B5*10^3</f>
        <v>406.95016639828236</v>
      </c>
      <c r="C13" s="11">
        <f>64/B13</f>
        <v>0.1572674132718333</v>
      </c>
      <c r="E13" s="10" t="s">
        <v>13</v>
      </c>
      <c r="F13" s="11">
        <f>F12*B8*10^3</f>
        <v>3158.9506666666666</v>
      </c>
      <c r="G13" s="11">
        <f>64/F13</f>
        <v>2.0259892208931828E-2</v>
      </c>
    </row>
    <row r="14" spans="1:7">
      <c r="A14" s="12" t="s">
        <v>14</v>
      </c>
      <c r="B14" s="11">
        <f>IF(B13&gt;2300,C12,C13)</f>
        <v>0.1572674132718333</v>
      </c>
      <c r="C14" s="11"/>
      <c r="E14" s="12" t="s">
        <v>14</v>
      </c>
      <c r="F14" s="11">
        <f>IF(F13&gt;2300,G12,G13)</f>
        <v>4.220372300055579E-2</v>
      </c>
      <c r="G14" s="11"/>
    </row>
    <row r="15" spans="1:7">
      <c r="A15" s="12"/>
      <c r="B15" s="11"/>
      <c r="C15" s="11"/>
    </row>
    <row r="16" spans="1:7">
      <c r="A16" s="13" t="s">
        <v>15</v>
      </c>
      <c r="B16" s="11"/>
      <c r="C16" s="11"/>
    </row>
    <row r="17" spans="1:6">
      <c r="A17" s="5" t="s">
        <v>16</v>
      </c>
      <c r="B17" s="14">
        <f>((B14*B3*998.4*B12^2/(B5*10^-3*2))+(F14*B4/(B8*10^-3)+B9*B7)*F12^2*998.4/2)</f>
        <v>1247.2535945510413</v>
      </c>
      <c r="E17" s="7"/>
    </row>
    <row r="18" spans="1:6">
      <c r="A18" t="s">
        <v>17</v>
      </c>
      <c r="B18" s="15">
        <f>(B14*B3*998.4*B12^2/(B5*10^-3*2))</f>
        <v>1175.4521594351932</v>
      </c>
      <c r="E18" s="5"/>
      <c r="F18" s="15"/>
    </row>
    <row r="19" spans="1:6">
      <c r="B19" s="15"/>
    </row>
    <row r="20" spans="1:6">
      <c r="A20" t="s">
        <v>18</v>
      </c>
    </row>
    <row r="21" spans="1:6">
      <c r="A21" s="5" t="s">
        <v>16</v>
      </c>
      <c r="B21" s="14">
        <f>((10^-3*B3*B4*(B2/60/60))^2*8*998.4/PI()^2)*1/(B7*(SQRT((B5*10^-3)^5/(B9*B5*10^-3+B14*B3))))^2</f>
        <v>478.74493654251569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17" sqref="B17"/>
    </sheetView>
  </sheetViews>
  <sheetFormatPr defaultColWidth="11.42578125" defaultRowHeight="12.75"/>
  <cols>
    <col min="1" max="1" width="21.140625" customWidth="1"/>
    <col min="2" max="2" width="11.5703125" bestFit="1" customWidth="1"/>
  </cols>
  <sheetData>
    <row r="1" spans="1:7">
      <c r="A1" t="s">
        <v>23</v>
      </c>
    </row>
    <row r="2" spans="1:7">
      <c r="A2" s="5" t="s">
        <v>1</v>
      </c>
      <c r="B2" s="6">
        <f>'Druckverlust der K - BeKa Matte'!$G$13</f>
        <v>30</v>
      </c>
    </row>
    <row r="3" spans="1:7">
      <c r="A3" s="5" t="s">
        <v>2</v>
      </c>
      <c r="B3" s="6">
        <f>'Druckverlust der K - BeKa Matte'!$G$10</f>
        <v>1</v>
      </c>
    </row>
    <row r="4" spans="1:7">
      <c r="A4" s="5" t="s">
        <v>3</v>
      </c>
      <c r="B4" s="6">
        <f>'Druckverlust der K - BeKa Matte'!$G$11</f>
        <v>0.4</v>
      </c>
    </row>
    <row r="5" spans="1:7">
      <c r="A5" s="7" t="s">
        <v>4</v>
      </c>
      <c r="B5" s="6">
        <v>2.2999999999999998</v>
      </c>
    </row>
    <row r="6" spans="1:7">
      <c r="A6" t="s">
        <v>5</v>
      </c>
      <c r="B6" s="8">
        <v>10</v>
      </c>
    </row>
    <row r="7" spans="1:7">
      <c r="A7" t="s">
        <v>6</v>
      </c>
      <c r="B7" s="9">
        <f>ROUND((B4-0.04)/B6*1000,0)/2</f>
        <v>18</v>
      </c>
      <c r="C7" t="s">
        <v>7</v>
      </c>
    </row>
    <row r="8" spans="1:7">
      <c r="A8" s="7" t="s">
        <v>8</v>
      </c>
      <c r="B8" s="6">
        <v>16</v>
      </c>
    </row>
    <row r="9" spans="1:7">
      <c r="A9" s="7" t="s">
        <v>9</v>
      </c>
      <c r="B9" s="6">
        <v>0.04</v>
      </c>
    </row>
    <row r="11" spans="1:7">
      <c r="A11" t="s">
        <v>10</v>
      </c>
      <c r="E11" t="s">
        <v>11</v>
      </c>
    </row>
    <row r="12" spans="1:7">
      <c r="A12" s="10" t="s">
        <v>12</v>
      </c>
      <c r="B12" s="11">
        <f>B3*B4*B2/60/B7*21.22/B5^2</f>
        <v>4.4570468388993915E-2</v>
      </c>
      <c r="C12" s="11">
        <f>0.3164*B13^-0.25</f>
        <v>9.9435787210758783E-2</v>
      </c>
      <c r="E12" s="10" t="s">
        <v>12</v>
      </c>
      <c r="F12" s="11">
        <f>B3*B4*B2/60*21.22/B8^2</f>
        <v>1.6578124999999999E-2</v>
      </c>
      <c r="G12" s="11">
        <f>0.3164*F13^-0.25</f>
        <v>7.8401184959382128E-2</v>
      </c>
    </row>
    <row r="13" spans="1:7">
      <c r="A13" s="10" t="s">
        <v>13</v>
      </c>
      <c r="B13" s="11">
        <f>B12*B5*10^3</f>
        <v>102.51207729468599</v>
      </c>
      <c r="C13" s="11">
        <f>64/B13</f>
        <v>0.62431668237511784</v>
      </c>
      <c r="E13" s="10" t="s">
        <v>13</v>
      </c>
      <c r="F13" s="11">
        <f>F12*B8*10^3</f>
        <v>265.25</v>
      </c>
      <c r="G13" s="11">
        <f>64/F13</f>
        <v>0.2412818096135721</v>
      </c>
    </row>
    <row r="14" spans="1:7">
      <c r="A14" s="12" t="s">
        <v>14</v>
      </c>
      <c r="B14" s="11">
        <f>IF(B13&gt;2300,C12,C13)</f>
        <v>0.62431668237511784</v>
      </c>
      <c r="C14" s="11"/>
      <c r="E14" s="12" t="s">
        <v>14</v>
      </c>
      <c r="F14" s="11">
        <f>IF(F13&gt;2300,G12,G13)</f>
        <v>0.2412818096135721</v>
      </c>
      <c r="G14" s="11"/>
    </row>
    <row r="15" spans="1:7">
      <c r="A15" s="12"/>
      <c r="B15" s="11"/>
      <c r="C15" s="11"/>
    </row>
    <row r="16" spans="1:7">
      <c r="A16" s="13" t="s">
        <v>15</v>
      </c>
      <c r="B16" s="11"/>
      <c r="C16" s="11"/>
    </row>
    <row r="17" spans="1:6">
      <c r="A17" s="5" t="s">
        <v>16</v>
      </c>
      <c r="B17" s="14">
        <f>((B14*B3*998.4*B12^2/(B5*10^-3*2))+(F14*(B4/2)/(B8*10^-3)+B9*B7)*F12^2*998.4/2)*2</f>
        <v>539.3892198261575</v>
      </c>
      <c r="E17" s="7"/>
    </row>
    <row r="18" spans="1:6">
      <c r="A18" t="s">
        <v>17</v>
      </c>
      <c r="B18" s="15">
        <f>(B14*B3*998.4*B12^2/(B5*10^-3*2))*2</f>
        <v>538.36407579065747</v>
      </c>
      <c r="E18" s="5"/>
      <c r="F18" s="15"/>
    </row>
    <row r="19" spans="1:6">
      <c r="B19" s="15"/>
    </row>
    <row r="20" spans="1:6">
      <c r="A20" t="s">
        <v>18</v>
      </c>
    </row>
    <row r="21" spans="1:6">
      <c r="A21" s="5" t="s">
        <v>16</v>
      </c>
      <c r="B21" s="14">
        <f>((10^-3*B3*B4*(B2/60/60))^2*8*998.4/PI()^2)*1/(B7*(SQRT((B5*10^-3)^5/(B9*B5*10^-3+B14*2*B3))))^2</f>
        <v>538.43718819007154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17" sqref="B17"/>
    </sheetView>
  </sheetViews>
  <sheetFormatPr defaultColWidth="11.42578125" defaultRowHeight="12.75"/>
  <cols>
    <col min="1" max="1" width="21.140625" customWidth="1"/>
    <col min="2" max="2" width="11.5703125" bestFit="1" customWidth="1"/>
  </cols>
  <sheetData>
    <row r="1" spans="1:7">
      <c r="A1" t="s">
        <v>23</v>
      </c>
    </row>
    <row r="2" spans="1:7">
      <c r="A2" s="5" t="s">
        <v>1</v>
      </c>
      <c r="B2" s="6">
        <f>'Reihenschaltung mit Schläuchen'!$G$15</f>
        <v>142.91200000000001</v>
      </c>
    </row>
    <row r="3" spans="1:7">
      <c r="A3" s="5" t="s">
        <v>2</v>
      </c>
      <c r="B3" s="6">
        <f>'Reihenschaltung mit Schläuchen'!$G$10</f>
        <v>1.1000000000000001</v>
      </c>
    </row>
    <row r="4" spans="1:7">
      <c r="A4" s="5" t="s">
        <v>3</v>
      </c>
      <c r="B4" s="6">
        <f>'Reihenschaltung mit Schläuchen'!$G$11</f>
        <v>0.57999999999999996</v>
      </c>
    </row>
    <row r="5" spans="1:7">
      <c r="A5" s="7" t="s">
        <v>4</v>
      </c>
      <c r="B5" s="6">
        <v>2.2999999999999998</v>
      </c>
    </row>
    <row r="6" spans="1:7">
      <c r="A6" t="s">
        <v>5</v>
      </c>
      <c r="B6" s="8">
        <v>10</v>
      </c>
    </row>
    <row r="7" spans="1:7">
      <c r="A7" t="s">
        <v>6</v>
      </c>
      <c r="B7" s="9">
        <f>ROUND((B4-0.04)/B6*1000,0)/2</f>
        <v>27</v>
      </c>
      <c r="C7" t="s">
        <v>7</v>
      </c>
    </row>
    <row r="8" spans="1:7">
      <c r="A8" s="7" t="s">
        <v>8</v>
      </c>
      <c r="B8" s="6">
        <v>16</v>
      </c>
    </row>
    <row r="9" spans="1:7">
      <c r="A9" s="7" t="s">
        <v>9</v>
      </c>
      <c r="B9" s="6">
        <v>0.04</v>
      </c>
    </row>
    <row r="11" spans="1:7">
      <c r="A11" t="s">
        <v>10</v>
      </c>
      <c r="E11" t="s">
        <v>11</v>
      </c>
    </row>
    <row r="12" spans="1:7">
      <c r="A12" s="10" t="s">
        <v>12</v>
      </c>
      <c r="B12" s="11">
        <f>B2/60/B7*21.22/B5^2</f>
        <v>0.35386970991154992</v>
      </c>
      <c r="C12" s="11">
        <f>0.3164*B13^-0.25</f>
        <v>5.9237083520003113E-2</v>
      </c>
      <c r="E12" s="10" t="s">
        <v>12</v>
      </c>
      <c r="F12" s="11">
        <f>B2/60*21.22/B8^2</f>
        <v>0.19743441666666667</v>
      </c>
      <c r="G12" s="11">
        <f>0.3164*F13^-0.25</f>
        <v>4.220372300055579E-2</v>
      </c>
    </row>
    <row r="13" spans="1:7">
      <c r="A13" s="10" t="s">
        <v>13</v>
      </c>
      <c r="B13" s="11">
        <f>B12*B5*10^3</f>
        <v>813.90033279656473</v>
      </c>
      <c r="C13" s="11">
        <f>64/B13</f>
        <v>7.863370663591665E-2</v>
      </c>
      <c r="E13" s="10" t="s">
        <v>13</v>
      </c>
      <c r="F13" s="11">
        <f>F12*B8*10^3</f>
        <v>3158.9506666666666</v>
      </c>
      <c r="G13" s="11">
        <f>64/F13</f>
        <v>2.0259892208931828E-2</v>
      </c>
    </row>
    <row r="14" spans="1:7">
      <c r="A14" s="12" t="s">
        <v>14</v>
      </c>
      <c r="B14" s="11">
        <f>IF(B13&gt;2300,C12,C13)</f>
        <v>7.863370663591665E-2</v>
      </c>
      <c r="C14" s="11"/>
      <c r="E14" s="12" t="s">
        <v>14</v>
      </c>
      <c r="F14" s="11">
        <f>IF(F13&gt;2300,G12,G13)</f>
        <v>4.220372300055579E-2</v>
      </c>
      <c r="G14" s="11"/>
    </row>
    <row r="15" spans="1:7">
      <c r="A15" s="12"/>
      <c r="B15" s="11"/>
      <c r="C15" s="11"/>
    </row>
    <row r="16" spans="1:7">
      <c r="A16" s="13" t="s">
        <v>15</v>
      </c>
      <c r="B16" s="11"/>
      <c r="C16" s="11"/>
    </row>
    <row r="17" spans="1:6">
      <c r="A17" s="5" t="s">
        <v>16</v>
      </c>
      <c r="B17" s="14">
        <f>((B14*B3*998.4*B12^2/(B5*10^-3*2))+(F14*(B4/2)/(B8*10^-3)+B9*B7)*F12^2*998.4/2)*2</f>
        <v>4773.6100728566207</v>
      </c>
      <c r="E17" s="7"/>
    </row>
    <row r="18" spans="1:6">
      <c r="A18" t="s">
        <v>17</v>
      </c>
      <c r="B18" s="15">
        <f>(B14*B3*998.4*B12^2/(B5*10^-3*2))*2</f>
        <v>4701.8086377407726</v>
      </c>
      <c r="E18" s="5"/>
      <c r="F18" s="15"/>
    </row>
    <row r="19" spans="1:6">
      <c r="B19" s="15"/>
    </row>
    <row r="20" spans="1:6">
      <c r="A20" t="s">
        <v>18</v>
      </c>
    </row>
    <row r="21" spans="1:6">
      <c r="A21" s="5" t="s">
        <v>16</v>
      </c>
      <c r="B21" s="14">
        <f>((10^-3*B3*B4*(B2/60/60))^2*8*998.4/PI()^2)*1/(B7*(SQRT((B5*10^-3)^5/(B9*B5*10^-3+B14*2*B3))))^2</f>
        <v>1914.9797461700628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17" sqref="B17"/>
    </sheetView>
  </sheetViews>
  <sheetFormatPr defaultColWidth="11.42578125" defaultRowHeight="12.75"/>
  <cols>
    <col min="1" max="1" width="21.28515625" customWidth="1"/>
    <col min="2" max="2" width="11.5703125" bestFit="1" customWidth="1"/>
  </cols>
  <sheetData>
    <row r="1" spans="1:7">
      <c r="A1" t="s">
        <v>24</v>
      </c>
    </row>
    <row r="2" spans="1:7">
      <c r="A2" s="5" t="s">
        <v>1</v>
      </c>
      <c r="B2" s="6">
        <f>'Druckverlust der K - BeKa Matte'!$G$13</f>
        <v>30</v>
      </c>
    </row>
    <row r="3" spans="1:7">
      <c r="A3" s="5" t="s">
        <v>2</v>
      </c>
      <c r="B3" s="6">
        <f>'Druckverlust der K - BeKa Matte'!$G$10</f>
        <v>1</v>
      </c>
    </row>
    <row r="4" spans="1:7">
      <c r="A4" s="5" t="s">
        <v>3</v>
      </c>
      <c r="B4" s="6">
        <f>'Druckverlust der K - BeKa Matte'!$G$11</f>
        <v>0.4</v>
      </c>
    </row>
    <row r="5" spans="1:7">
      <c r="A5" s="7" t="s">
        <v>4</v>
      </c>
      <c r="B5" s="6">
        <v>2.2999999999999998</v>
      </c>
    </row>
    <row r="6" spans="1:7">
      <c r="A6" t="s">
        <v>5</v>
      </c>
      <c r="B6" s="8">
        <v>20</v>
      </c>
    </row>
    <row r="7" spans="1:7">
      <c r="A7" t="s">
        <v>6</v>
      </c>
      <c r="B7" s="9">
        <f>ROUND((B4-0.04)/B6*1000,0)</f>
        <v>18</v>
      </c>
      <c r="C7" t="s">
        <v>7</v>
      </c>
    </row>
    <row r="8" spans="1:7">
      <c r="A8" s="7" t="s">
        <v>8</v>
      </c>
      <c r="B8" s="6">
        <v>16</v>
      </c>
    </row>
    <row r="9" spans="1:7">
      <c r="A9" s="7" t="s">
        <v>9</v>
      </c>
      <c r="B9" s="6">
        <v>0.04</v>
      </c>
    </row>
    <row r="11" spans="1:7">
      <c r="A11" t="s">
        <v>10</v>
      </c>
      <c r="E11" t="s">
        <v>11</v>
      </c>
    </row>
    <row r="12" spans="1:7">
      <c r="A12" s="10" t="s">
        <v>12</v>
      </c>
      <c r="B12" s="11">
        <f>B3*B4*B2/60/B7*21.22/B5^2</f>
        <v>4.4570468388993915E-2</v>
      </c>
      <c r="C12" s="11">
        <f>0.3164*B13^-0.25</f>
        <v>9.9435787210758783E-2</v>
      </c>
      <c r="E12" s="10" t="s">
        <v>12</v>
      </c>
      <c r="F12" s="11">
        <f>B3*B4*B2/60*21.22/B8^2</f>
        <v>1.6578124999999999E-2</v>
      </c>
      <c r="G12" s="11">
        <f>0.3164*F13^-0.25</f>
        <v>7.8401184959382128E-2</v>
      </c>
    </row>
    <row r="13" spans="1:7">
      <c r="A13" s="10" t="s">
        <v>13</v>
      </c>
      <c r="B13" s="11">
        <f>B12*B5*10^3</f>
        <v>102.51207729468599</v>
      </c>
      <c r="C13" s="11">
        <f>64/B13</f>
        <v>0.62431668237511784</v>
      </c>
      <c r="E13" s="10" t="s">
        <v>13</v>
      </c>
      <c r="F13" s="11">
        <f>F12*B8*10^3</f>
        <v>265.25</v>
      </c>
      <c r="G13" s="11">
        <f>64/F13</f>
        <v>0.2412818096135721</v>
      </c>
    </row>
    <row r="14" spans="1:7">
      <c r="A14" s="12" t="s">
        <v>14</v>
      </c>
      <c r="B14" s="11">
        <f>IF(B13&gt;2300,C12,C13)</f>
        <v>0.62431668237511784</v>
      </c>
      <c r="C14" s="11"/>
      <c r="E14" s="12" t="s">
        <v>14</v>
      </c>
      <c r="F14" s="11">
        <f>IF(F13&gt;2300,G12,G13)</f>
        <v>0.2412818096135721</v>
      </c>
      <c r="G14" s="11"/>
    </row>
    <row r="15" spans="1:7">
      <c r="A15" s="12"/>
      <c r="B15" s="11"/>
      <c r="C15" s="11"/>
    </row>
    <row r="16" spans="1:7">
      <c r="A16" s="13" t="s">
        <v>15</v>
      </c>
      <c r="B16" s="11"/>
      <c r="C16" s="11"/>
    </row>
    <row r="17" spans="1:6">
      <c r="A17" s="5" t="s">
        <v>16</v>
      </c>
      <c r="B17" s="14">
        <f>((B14*B3*998.4*B12^2/(B5*10^-3*2))+(F14*B4/(B8*10^-3)+B9*B7)*F12^2*998.4/2)</f>
        <v>270.10839991307876</v>
      </c>
      <c r="E17" s="7"/>
    </row>
    <row r="18" spans="1:6">
      <c r="A18" t="s">
        <v>17</v>
      </c>
      <c r="B18" s="15">
        <f>(B14*B3*998.4*B12^2/(B5*10^-3*2))</f>
        <v>269.18203789532873</v>
      </c>
      <c r="E18" s="5"/>
      <c r="F18" s="15"/>
    </row>
    <row r="19" spans="1:6">
      <c r="B19" s="15"/>
    </row>
    <row r="20" spans="1:6">
      <c r="A20" t="s">
        <v>18</v>
      </c>
    </row>
    <row r="21" spans="1:6">
      <c r="A21" s="5" t="s">
        <v>16</v>
      </c>
      <c r="B21" s="14">
        <f>((10^-3*B3*B4*(B2/60/60))^2*8*998.4/PI()^2)*1/(B7*(SQRT((B5*10^-3)^5/(B9*B5*10^-3+B14*B3))))^2</f>
        <v>269.23842880918193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7332A8FA6AD14589C39E054CFCB98D" ma:contentTypeVersion="2" ma:contentTypeDescription="Create a new document." ma:contentTypeScope="" ma:versionID="0ac2705ad5d48cc42dceab72ad507481">
  <xsd:schema xmlns:xsd="http://www.w3.org/2001/XMLSchema" xmlns:xs="http://www.w3.org/2001/XMLSchema" xmlns:p="http://schemas.microsoft.com/office/2006/metadata/properties" xmlns:ns2="f390be65-5ba2-4ef3-86dc-4d1a2b853936" targetNamespace="http://schemas.microsoft.com/office/2006/metadata/properties" ma:root="true" ma:fieldsID="6d9615788c9d89f361b021ea12d6e61c" ns2:_="">
    <xsd:import namespace="f390be65-5ba2-4ef3-86dc-4d1a2b853936"/>
    <xsd:element name="properties">
      <xsd:complexType>
        <xsd:sequence>
          <xsd:element name="documentManagement">
            <xsd:complexType>
              <xsd:all>
                <xsd:element ref="ns2:ESHOP" minOccurs="0"/>
                <xsd:element ref="ns2:B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0be65-5ba2-4ef3-86dc-4d1a2b853936" elementFormDefault="qualified">
    <xsd:import namespace="http://schemas.microsoft.com/office/2006/documentManagement/types"/>
    <xsd:import namespace="http://schemas.microsoft.com/office/infopath/2007/PartnerControls"/>
    <xsd:element name="ESHOP" ma:index="8" nillable="true" ma:displayName="ESHOP" ma:default="0" ma:description="metadata BC" ma:internalName="ESHOP">
      <xsd:simpleType>
        <xsd:restriction base="dms:Boolean"/>
      </xsd:simpleType>
    </xsd:element>
    <xsd:element name="BC" ma:index="9" nillable="true" ma:displayName="BC" ma:internalName="BC">
      <xsd:simpleType>
        <xsd:restriction base="dms:Text">
          <xsd:maxLength value="6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OP xmlns="f390be65-5ba2-4ef3-86dc-4d1a2b853936">false</ESHOP>
    <BC xmlns="f390be65-5ba2-4ef3-86dc-4d1a2b853936" xsi:nil="true"/>
  </documentManagement>
</p:properties>
</file>

<file path=customXml/itemProps1.xml><?xml version="1.0" encoding="utf-8"?>
<ds:datastoreItem xmlns:ds="http://schemas.openxmlformats.org/officeDocument/2006/customXml" ds:itemID="{A3137FF5-9B50-4A7B-A71E-A9C3D27FD4F4}"/>
</file>

<file path=customXml/itemProps2.xml><?xml version="1.0" encoding="utf-8"?>
<ds:datastoreItem xmlns:ds="http://schemas.openxmlformats.org/officeDocument/2006/customXml" ds:itemID="{2EF2D3ED-9C9B-4572-A741-5E5226F8F944}"/>
</file>

<file path=customXml/itemProps3.xml><?xml version="1.0" encoding="utf-8"?>
<ds:datastoreItem xmlns:ds="http://schemas.openxmlformats.org/officeDocument/2006/customXml" ds:itemID="{5ECC52D2-44C9-4A7E-9145-A917BBD5ABA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4</vt:i4>
      </vt:variant>
    </vt:vector>
  </HeadingPairs>
  <TitlesOfParts>
    <vt:vector size="36" baseType="lpstr">
      <vt:lpstr>S15</vt:lpstr>
      <vt:lpstr>RS15</vt:lpstr>
      <vt:lpstr>S10</vt:lpstr>
      <vt:lpstr>RS10</vt:lpstr>
      <vt:lpstr>G10</vt:lpstr>
      <vt:lpstr>RG10</vt:lpstr>
      <vt:lpstr>U10</vt:lpstr>
      <vt:lpstr>RU10</vt:lpstr>
      <vt:lpstr>G20</vt:lpstr>
      <vt:lpstr>RG20</vt:lpstr>
      <vt:lpstr>G30</vt:lpstr>
      <vt:lpstr>RG30</vt:lpstr>
      <vt:lpstr>Flex</vt:lpstr>
      <vt:lpstr>RFlex</vt:lpstr>
      <vt:lpstr>Anschluß</vt:lpstr>
      <vt:lpstr>RAnschluß</vt:lpstr>
      <vt:lpstr>Startseite</vt:lpstr>
      <vt:lpstr>Druckverlust der K - BeKa Matte</vt:lpstr>
      <vt:lpstr>Reihenschaltung mit Schläuchen</vt:lpstr>
      <vt:lpstr>Reihenschaltung ohne Schläuche</vt:lpstr>
      <vt:lpstr>Druckverlust der Matte PN20</vt:lpstr>
      <vt:lpstr>Druckverlust der Matte P.FS20</vt:lpstr>
      <vt:lpstr>RS10 (2)</vt:lpstr>
      <vt:lpstr>RG10 (2)</vt:lpstr>
      <vt:lpstr>P.FS20_1</vt:lpstr>
      <vt:lpstr>P.NS15</vt:lpstr>
      <vt:lpstr>P.VS20</vt:lpstr>
      <vt:lpstr>P.VS30</vt:lpstr>
      <vt:lpstr>P.VG10</vt:lpstr>
      <vt:lpstr>P.VG20</vt:lpstr>
      <vt:lpstr>P.VG30</vt:lpstr>
      <vt:lpstr>DP in Anschluß</vt:lpstr>
      <vt:lpstr>'DP in Anschluß'!Oblast_tisku</vt:lpstr>
      <vt:lpstr>'Druckverlust der K - BeKa Matte'!Oblast_tisku</vt:lpstr>
      <vt:lpstr>'Druckverlust der Matte PN20'!Oblast_tisku</vt:lpstr>
      <vt:lpstr>'Reihenschaltung mit Schläuchen'!Oblast_tisku</vt:lpstr>
    </vt:vector>
  </TitlesOfParts>
  <Company>BeKa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Bauke</dc:creator>
  <cp:lastModifiedBy>Holčák Tomáš</cp:lastModifiedBy>
  <cp:lastPrinted>1999-08-26T12:04:21Z</cp:lastPrinted>
  <dcterms:created xsi:type="dcterms:W3CDTF">1997-01-31T13:33:09Z</dcterms:created>
  <dcterms:modified xsi:type="dcterms:W3CDTF">2018-04-27T12:10:22Z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0x0101004E7332A8FA6AD14589C39E054CFCB98D</vt:lpwstr>
  </property>
  <property fmtid="{D5CDD505-2E9C-101B-9397-08002B2CF9AE}" pid="3" name="_CopySource">
    <vt:lpwstr>C:\ProgramData\Microsoft\Microsoft Dynamics NAV\190\Server\MicrosoftDynamicsNavServer$HCZ_BC_USR01\users\default\68989d02-318b-4ffd-9eb6-032491b512ff\Kapilární_rohože_výpočet_tlakové_ztráty_9.10.xlsx</vt:lpwstr>
  </property>
</Properties>
</file>